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4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5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drawings/drawing6.xml" ContentType="application/vnd.openxmlformats-officedocument.drawing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drawings/drawing7.xml" ContentType="application/vnd.openxmlformats-officedocument.drawing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sclient\C\Users\manzuk_o.RBANK\Desktop\"/>
    </mc:Choice>
  </mc:AlternateContent>
  <workbookProtection workbookAlgorithmName="SHA-512" workbookHashValue="ldWC8YcVmHw/m2FNOHF8tEh3VgpHA2eUZHxcQmXU00VgTC8afZqtIHuqH1m6qxTY0uZgbZmaDxb44ZsUY4g6+A==" workbookSaltValue="X53GQZvyIusZNcgqvIJFsA==" workbookSpinCount="100000" lockStructure="1"/>
  <bookViews>
    <workbookView xWindow="-120" yWindow="-120" windowWidth="29040" windowHeight="15840" tabRatio="923" firstSheet="4" activeTab="4"/>
  </bookViews>
  <sheets>
    <sheet name="поступл.на счет бел" sheetId="46" state="hidden" r:id="rId1"/>
    <sheet name="поступл на счет долл" sheetId="47" state="hidden" r:id="rId2"/>
    <sheet name="поступл на счет евро" sheetId="48" state="hidden" r:id="rId3"/>
    <sheet name="поступл на счет росс" sheetId="49" state="hidden" r:id="rId4"/>
    <sheet name="Приложение 1 - Список док ЮЛ" sheetId="27" r:id="rId5"/>
    <sheet name="Приложение 2 - Список док ИП" sheetId="28" r:id="rId6"/>
    <sheet name="Приложение 3 - заключение" sheetId="5" state="hidden" r:id="rId7"/>
    <sheet name="проект решения КК" sheetId="18" state="hidden" r:id="rId8"/>
    <sheet name="калькулятор взноса " sheetId="29" state="hidden" r:id="rId9"/>
    <sheet name="Лист2" sheetId="26" state="hidden" r:id="rId10"/>
    <sheet name="Док-ты по залогу" sheetId="30" state="hidden" r:id="rId11"/>
    <sheet name="Док-ты по залогодателю" sheetId="31" r:id="rId12"/>
    <sheet name="Заявка" sheetId="3" r:id="rId13"/>
    <sheet name="Анкета поручителя" sheetId="34" r:id="rId14"/>
    <sheet name="Анкета поручителя 2" sheetId="50" r:id="rId15"/>
    <sheet name="Анкета поруч-залог ЮЛ" sheetId="36" r:id="rId16"/>
    <sheet name="залоговая опись авто" sheetId="37" state="hidden" r:id="rId17"/>
    <sheet name="акт оценки авто" sheetId="39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" hidden="1">'поступл на счет долл'!$A$1:$W$4</definedName>
    <definedName name="_xlnm._FilterDatabase" localSheetId="2" hidden="1">'поступл на счет евро'!$A$1:$W$67</definedName>
    <definedName name="_xlnm._FilterDatabase" localSheetId="3" hidden="1">'поступл на счет росс'!$A$1:$W$24</definedName>
    <definedName name="_xlnm._FilterDatabase" localSheetId="0" hidden="1">'поступл.на счет бел'!$A$1:$W$62</definedName>
    <definedName name="Z_4C76A25C_B731_4FF1_B62A_70E621E8081B_.wvu.PrintArea" localSheetId="12" hidden="1">Заявка!$A$3:$AB$86</definedName>
    <definedName name="Z_4C76A25C_B731_4FF1_B62A_70E621E8081B_.wvu.PrintArea" localSheetId="5" hidden="1">'Приложение 2 - Список док ИП'!$A$2:$D$22</definedName>
    <definedName name="Z_4C76A25C_B731_4FF1_B62A_70E621E8081B_.wvu.Rows" localSheetId="5" hidden="1">'Приложение 2 - Список док ИП'!#REF!</definedName>
    <definedName name="Z_EC4C4623_4C0D_4AE5_85F5_6EAB23AA8C39_.wvu.PrintArea" localSheetId="15" hidden="1">'Анкета поруч-залог ЮЛ'!$A$3:$AK$33</definedName>
    <definedName name="Z_EC4C4623_4C0D_4AE5_85F5_6EAB23AA8C39_.wvu.PrintArea" localSheetId="13" hidden="1">'Анкета поручителя'!$A$2:$AK$38</definedName>
    <definedName name="Z_EC4C4623_4C0D_4AE5_85F5_6EAB23AA8C39_.wvu.PrintArea" localSheetId="14" hidden="1">'Анкета поручителя 2'!$A$2:$AK$38</definedName>
    <definedName name="Z_EC4C4623_4C0D_4AE5_85F5_6EAB23AA8C39_.wvu.Rows" localSheetId="15" hidden="1">'Анкета поруч-залог ЮЛ'!$4:$4,'Анкета поруч-залог ЮЛ'!#REF!,'Анкета поруч-залог ЮЛ'!$21:$21,'Анкета поруч-залог ЮЛ'!$31:$31</definedName>
    <definedName name="Z_EC4C4623_4C0D_4AE5_85F5_6EAB23AA8C39_.wvu.Rows" localSheetId="13" hidden="1">'Анкета поручителя'!$3:$3,'Анкета поручителя'!#REF!,'Анкета поручителя'!$25:$25,'Анкета поручителя'!$36:$36</definedName>
    <definedName name="Z_EC4C4623_4C0D_4AE5_85F5_6EAB23AA8C39_.wvu.Rows" localSheetId="14" hidden="1">'Анкета поручителя 2'!$3:$3,'Анкета поручителя 2'!#REF!,'Анкета поручителя 2'!$25:$25,'Анкета поручителя 2'!$36:$36</definedName>
    <definedName name="авто">Лист2!$V$6</definedName>
    <definedName name="авто4">Лист2!$AP$6</definedName>
    <definedName name="аннуитет">[1]Резюме!$K$40</definedName>
    <definedName name="в_ЗАО__Альфа_Банк_не_должна_превышать_50" localSheetId="14">#REF!</definedName>
    <definedName name="в_ЗАО__Альфа_Банк_не_должна_превышать_50">#REF!</definedName>
    <definedName name="валюта_кредита">'[2]График платежей'!$A$89:$A$99</definedName>
    <definedName name="Вид_валюты" localSheetId="14">#REF!</definedName>
    <definedName name="Вид_валюты">#REF!</definedName>
    <definedName name="Вид_документа" localSheetId="14">#REF!</definedName>
    <definedName name="Вид_документа">#REF!</definedName>
    <definedName name="Вид_налогоблажения" localSheetId="14">#REF!</definedName>
    <definedName name="Вид_налогоблажения">#REF!</definedName>
    <definedName name="вкл4" localSheetId="14">Лист2!#REF!</definedName>
    <definedName name="вкл4">Лист2!#REF!</definedName>
    <definedName name="вм" localSheetId="14">#REF!</definedName>
    <definedName name="вм">#REF!</definedName>
    <definedName name="график">[3]Кредит!$A$181:$A$183</definedName>
    <definedName name="Да" localSheetId="15">[4]Заявка_ЮЛ!$C$110:$C$111</definedName>
    <definedName name="Да" localSheetId="13">[5]Заявка_ЮЛ!$C$110:$C$111</definedName>
    <definedName name="Да" localSheetId="14">[5]Заявка_ЮЛ!$C$110:$C$111</definedName>
    <definedName name="Да" localSheetId="10">[6]Заявка_ЮЛ!$C$106:$C$107</definedName>
    <definedName name="Да" localSheetId="12">Заявка!$C$127:$C$128</definedName>
    <definedName name="Да">[7]Заявка_ЮЛ!$C$116:$C$117</definedName>
    <definedName name="Да_Нет" localSheetId="14">#REF!</definedName>
    <definedName name="да_нет" localSheetId="10">[3]Кредит!$A$107:$A$109</definedName>
    <definedName name="Да_Нет">#REF!</definedName>
    <definedName name="ед_измер" localSheetId="14">#REF!</definedName>
    <definedName name="ед_измер">#REF!</definedName>
    <definedName name="ИМНС">[8]Анкета!$D$101:$E$254</definedName>
    <definedName name="ИМНСС">[9]анкета!$A$236:$B$389</definedName>
    <definedName name="Кредитный_экспресс">Лист2!$F$4:$H$4</definedName>
    <definedName name="кэ">Лист2!$O$4:$R$4</definedName>
    <definedName name="кэ0">Лист2!$F$4:$H$4</definedName>
    <definedName name="кэ2">Лист2!$V$4:$Y$4</definedName>
    <definedName name="кэ3">Лист2!$AF$4:$AJ$4</definedName>
    <definedName name="кэ4">Лист2!$AP$4:$AS$4</definedName>
    <definedName name="метод" localSheetId="14">#REF!</definedName>
    <definedName name="метод">#REF!</definedName>
    <definedName name="МК" localSheetId="14">#REF!</definedName>
    <definedName name="МК">#REF!</definedName>
    <definedName name="_xlnm.Print_Area" localSheetId="17">'акт оценки авто'!$A$1:$E$80</definedName>
    <definedName name="_xlnm.Print_Area" localSheetId="15">'Анкета поруч-залог ЮЛ'!$A$2:$AK$34</definedName>
    <definedName name="_xlnm.Print_Area" localSheetId="13">'Анкета поручителя'!$A$1:$AK$42</definedName>
    <definedName name="_xlnm.Print_Area" localSheetId="14">'Анкета поручителя 2'!$A$1:$AK$42</definedName>
    <definedName name="_xlnm.Print_Area" localSheetId="11">'Док-ты по залогодателю'!$A$2:$D$24</definedName>
    <definedName name="_xlnm.Print_Area" localSheetId="10">'Док-ты по залогу'!$A$2:$P$71</definedName>
    <definedName name="_xlnm.Print_Area" localSheetId="16">'залоговая опись авто'!$A$2:$I$52</definedName>
    <definedName name="_xlnm.Print_Area" localSheetId="12">Заявка!$A$3:$AB$86</definedName>
    <definedName name="_xlnm.Print_Area" localSheetId="8">'калькулятор взноса '!$A$2:$P$17</definedName>
    <definedName name="_xlnm.Print_Area" localSheetId="4">'Приложение 1 - Список док ЮЛ'!$A$3:$D$29</definedName>
    <definedName name="_xlnm.Print_Area" localSheetId="5">'Приложение 2 - Список док ИП'!$A$2:$D$22</definedName>
    <definedName name="_xlnm.Print_Area" localSheetId="6">'Приложение 3 - заключение'!$A$2:$M$143</definedName>
    <definedName name="_xlnm.Print_Area" localSheetId="7">'проект решения КК'!$A$2:$L$52</definedName>
    <definedName name="Объекты" localSheetId="15">OFFSET([4]Заявка_ЮЛ!$E$110,0,0,COUNTA([4]Заявка_ЮЛ!$E$110:'[4]Заявка_ЮЛ'!$E$119),1)</definedName>
    <definedName name="Объекты" localSheetId="13">OFFSET([5]Заявка_ЮЛ!$E$110,0,0,COUNTA([5]Заявка_ЮЛ!$E$110:'[5]Заявка_ЮЛ'!$E$119),1)</definedName>
    <definedName name="Объекты" localSheetId="14">OFFSET([5]Заявка_ЮЛ!$E$110,0,0,COUNTA([5]Заявка_ЮЛ!$E$110:'[5]Заявка_ЮЛ'!$E$119),1)</definedName>
    <definedName name="Объекты" localSheetId="11">OFFSET([10]Заявка_ЮЛ!$F$102,0,0,COUNTA([10]Заявка_ЮЛ!$F$102:'[10]Заявка_ЮЛ'!$F$111),1)</definedName>
    <definedName name="Объекты" localSheetId="10">OFFSET([6]Заявка_ЮЛ!$E$106,0,0,COUNTA([6]Заявка_ЮЛ!$E$106:'[6]Заявка_ЮЛ'!$E$115),1)</definedName>
    <definedName name="Объекты" localSheetId="12">OFFSET(Заявка!$E$127,0,0,COUNTA(Заявка!$E$127:'Заявка'!$E$136),1)</definedName>
    <definedName name="Объекты" localSheetId="4">OFFSET([7]Заявка_ЮЛ!$E$116,0,0,COUNTA([7]Заявка_ЮЛ!$E$116:'[7]Заявка_ЮЛ'!$E$125),1)</definedName>
    <definedName name="Объекты">OFFSET(#REF!,0,0,COUNTA(#REF!:#REF!),1)</definedName>
    <definedName name="ов">Лист2!$O$2:$R$2</definedName>
    <definedName name="ов0">Лист2!$F$2</definedName>
    <definedName name="ов2">Лист2!$V$2</definedName>
    <definedName name="ов3">Лист2!$AF$2</definedName>
    <definedName name="ов4">Лист2!$AP$2</definedName>
    <definedName name="ов5">Лист2!$AW$2</definedName>
    <definedName name="Овердрафт" localSheetId="9">Лист2!$F$2:$F$2</definedName>
    <definedName name="Овердрафт">Лист2!$F$2</definedName>
    <definedName name="Опыт_ведения_бизнеса" localSheetId="14">#REF!</definedName>
    <definedName name="Опыт_ведения_бизнеса">#REF!</definedName>
    <definedName name="паспорт">#REF!</definedName>
    <definedName name="пер">Лист2!$V$6:$W$6</definedName>
    <definedName name="Перевозчик">Лист2!$F$6:$G$6</definedName>
    <definedName name="периодичность">[3]Кредит!$A$189:$A$192</definedName>
    <definedName name="подз">Лист2!$O$3</definedName>
    <definedName name="подз0">Лист2!$F$3</definedName>
    <definedName name="подз2">Лист2!$V$3</definedName>
    <definedName name="подз4">Лист2!$AP$3:$AR$3</definedName>
    <definedName name="Подзарядка" localSheetId="9">Лист2!$G$2:$G$2</definedName>
    <definedName name="Подзарядка">Лист2!$F$3</definedName>
    <definedName name="Продукты">Лист2!$D$2:$D$6</definedName>
    <definedName name="Просто_авто" localSheetId="14">Лист2!#REF!</definedName>
    <definedName name="Просто_авто">Лист2!#REF!</definedName>
    <definedName name="Рантье">Лист2!$F$7:$G$7</definedName>
    <definedName name="ставка">[1]Резюме!$K$39</definedName>
    <definedName name="Статус">[11]залог!$A$61:$A$63</definedName>
    <definedName name="сумма_кредита">[1]Резюме!$K$37</definedName>
    <definedName name="Так_просто">Лист2!$F$5:$G$5</definedName>
    <definedName name="тп0">Лист2!$F$5:$G$5</definedName>
    <definedName name="тп3">Лист2!$AF$5:$AH$5</definedName>
    <definedName name="тп4">Лист2!$AP$5:$AS$5</definedName>
    <definedName name="тп5">Лист2!$AW$5:$AX$5</definedName>
    <definedName name="форма_погашения" localSheetId="14">#REF!</definedName>
    <definedName name="форма_погашения">#REF!</definedName>
    <definedName name="Цель_кредита" localSheetId="14">#REF!</definedName>
    <definedName name="Цель_кредита">#REF!</definedName>
  </definedNames>
  <calcPr calcId="191029"/>
  <customWorkbookViews>
    <customWorkbookView name="Савило Анастасия Николаевна - Личное представление" guid="{4C76A25C-B731-4FF1-B62A-70E621E8081B}" mergeInterval="0" personalView="1" maximized="1" xWindow="-8" yWindow="-8" windowWidth="1936" windowHeight="1056" tabRatio="9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11" i="5"/>
  <c r="F84" i="5"/>
  <c r="F67" i="5" l="1"/>
  <c r="F86" i="5" l="1"/>
  <c r="F82" i="5"/>
  <c r="F81" i="5"/>
  <c r="F80" i="5"/>
  <c r="F79" i="5"/>
  <c r="F78" i="5"/>
  <c r="F71" i="5"/>
  <c r="F69" i="5"/>
  <c r="F65" i="5"/>
  <c r="F61" i="5"/>
  <c r="Y6" i="49" l="1"/>
  <c r="AC1" i="49"/>
  <c r="AA1" i="49"/>
  <c r="AC1" i="48"/>
  <c r="AA1" i="48"/>
  <c r="Y6" i="47"/>
  <c r="Y6" i="48" s="1"/>
  <c r="AC1" i="47"/>
  <c r="AA1" i="47"/>
  <c r="AA1" i="46"/>
  <c r="C45" i="5" s="1"/>
  <c r="L56" i="5" l="1"/>
  <c r="L57" i="5" s="1"/>
  <c r="L40" i="3"/>
  <c r="V40" i="3" l="1"/>
  <c r="V41" i="3" l="1"/>
  <c r="F64" i="5" l="1"/>
  <c r="F62" i="5"/>
  <c r="K61" i="5"/>
  <c r="B34" i="3"/>
  <c r="B33" i="3"/>
  <c r="N35" i="5"/>
  <c r="E36" i="5"/>
  <c r="F37" i="18" l="1"/>
  <c r="F27" i="18"/>
  <c r="F26" i="18"/>
  <c r="B39" i="18" l="1"/>
  <c r="B38" i="18"/>
  <c r="E17" i="18"/>
  <c r="I13" i="18"/>
  <c r="F13" i="18" s="1"/>
  <c r="F14" i="18" s="1"/>
  <c r="I11" i="18"/>
  <c r="I9" i="18"/>
  <c r="I7" i="18"/>
  <c r="F117" i="5" l="1"/>
  <c r="L117" i="5" s="1"/>
  <c r="F118" i="5"/>
  <c r="L118" i="5" s="1"/>
  <c r="F116" i="5"/>
  <c r="A118" i="5"/>
  <c r="H118" i="5" s="1"/>
  <c r="A117" i="5"/>
  <c r="H117" i="5" s="1"/>
  <c r="A116" i="5"/>
  <c r="H116" i="5" s="1"/>
  <c r="H119" i="5"/>
  <c r="F2" i="39"/>
  <c r="J114" i="5"/>
  <c r="M135" i="5" l="1"/>
  <c r="M136" i="5" s="1"/>
  <c r="M133" i="5" s="1"/>
  <c r="F119" i="5"/>
  <c r="L116" i="5"/>
  <c r="L119" i="5" s="1"/>
  <c r="E31" i="5"/>
  <c r="N106" i="5"/>
  <c r="V47" i="3" l="1"/>
  <c r="Q47" i="3"/>
  <c r="L47" i="3"/>
  <c r="V46" i="3"/>
  <c r="Q46" i="3"/>
  <c r="L46" i="3"/>
  <c r="V45" i="3"/>
  <c r="Q45" i="3"/>
  <c r="L45" i="3"/>
  <c r="V44" i="3"/>
  <c r="Q44" i="3"/>
  <c r="L44" i="3"/>
  <c r="V43" i="3"/>
  <c r="Q43" i="3"/>
  <c r="L43" i="3"/>
  <c r="V42" i="3"/>
  <c r="Q42" i="3"/>
  <c r="L42" i="3"/>
  <c r="V39" i="3"/>
  <c r="L39" i="3"/>
  <c r="V38" i="3"/>
  <c r="L38" i="3"/>
  <c r="V37" i="3"/>
  <c r="L37" i="3"/>
  <c r="V36" i="3"/>
  <c r="L36" i="3"/>
  <c r="V35" i="3"/>
  <c r="Q35" i="3"/>
  <c r="L35" i="3"/>
  <c r="E23" i="5" l="1"/>
  <c r="D50" i="39" l="1"/>
  <c r="C39" i="39"/>
  <c r="D38" i="39"/>
  <c r="B37" i="39"/>
  <c r="B34" i="39"/>
  <c r="D31" i="39"/>
  <c r="C28" i="39"/>
  <c r="B27" i="39"/>
  <c r="B23" i="39"/>
  <c r="B22" i="39"/>
  <c r="E20" i="39"/>
  <c r="D20" i="39"/>
  <c r="C20" i="39"/>
  <c r="B20" i="39"/>
  <c r="B19" i="39"/>
  <c r="C9" i="39"/>
  <c r="C8" i="39"/>
  <c r="B29" i="39" s="1"/>
  <c r="C6" i="39"/>
  <c r="F5" i="39"/>
  <c r="C31" i="39"/>
  <c r="F1" i="39"/>
  <c r="C52" i="37"/>
  <c r="D51" i="37"/>
  <c r="A50" i="37"/>
  <c r="A47" i="37"/>
  <c r="B40" i="37"/>
  <c r="B39" i="37"/>
  <c r="B38" i="37"/>
  <c r="A37" i="37"/>
  <c r="F27" i="37"/>
  <c r="B27" i="37"/>
  <c r="F26" i="37"/>
  <c r="I11" i="37"/>
  <c r="H11" i="37"/>
  <c r="I10" i="37"/>
  <c r="H10" i="37"/>
  <c r="A8" i="37"/>
  <c r="I10" i="29"/>
  <c r="E29" i="39" l="1"/>
  <c r="C22" i="39"/>
  <c r="C23" i="39" s="1"/>
  <c r="C25" i="39" s="1"/>
  <c r="G5" i="39"/>
  <c r="F7" i="39"/>
  <c r="D28" i="39"/>
  <c r="F4" i="39"/>
  <c r="E28" i="39"/>
  <c r="F3" i="39"/>
  <c r="F6" i="39"/>
  <c r="G4" i="39" l="1"/>
  <c r="D29" i="39"/>
  <c r="G6" i="39"/>
  <c r="C32" i="39"/>
  <c r="C29" i="39"/>
  <c r="G3" i="39"/>
  <c r="H3" i="39" s="1"/>
  <c r="D32" i="39"/>
  <c r="G7" i="39"/>
  <c r="B37" i="3" l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L41" i="3" s="1"/>
  <c r="G50" i="18" l="1"/>
  <c r="B40" i="18" s="1"/>
  <c r="B50" i="18"/>
  <c r="B48" i="18"/>
  <c r="B47" i="18"/>
  <c r="B46" i="18"/>
  <c r="B45" i="18"/>
  <c r="B43" i="18"/>
  <c r="B7" i="18" l="1"/>
  <c r="B6" i="3" l="1"/>
  <c r="I73" i="3" l="1"/>
  <c r="B73" i="3"/>
  <c r="P72" i="3"/>
  <c r="I72" i="3"/>
  <c r="B72" i="3"/>
  <c r="P71" i="3"/>
  <c r="I71" i="3"/>
  <c r="A81" i="3"/>
  <c r="M112" i="5" l="1"/>
  <c r="G117" i="5" s="1"/>
  <c r="M117" i="5" s="1"/>
  <c r="M113" i="5"/>
  <c r="G118" i="5" s="1"/>
  <c r="M118" i="5" s="1"/>
  <c r="M111" i="5" l="1"/>
  <c r="M114" i="5" l="1"/>
  <c r="G116" i="5"/>
  <c r="N98" i="5"/>
  <c r="N97" i="5"/>
  <c r="M116" i="5" l="1"/>
  <c r="M119" i="5" s="1"/>
  <c r="G119" i="5"/>
  <c r="F22" i="18"/>
  <c r="N103" i="5"/>
  <c r="A122" i="5"/>
  <c r="I107" i="5"/>
  <c r="I106" i="5"/>
  <c r="M106" i="5" s="1"/>
  <c r="C107" i="5"/>
  <c r="C106" i="5"/>
  <c r="A94" i="5"/>
  <c r="F92" i="5" l="1"/>
  <c r="K92" i="5" s="1"/>
  <c r="N107" i="5"/>
  <c r="M107" i="5" l="1"/>
  <c r="K81" i="5" l="1"/>
  <c r="K79" i="5"/>
  <c r="K78" i="5"/>
  <c r="F63" i="5"/>
  <c r="K63" i="5" s="1"/>
  <c r="K80" i="5"/>
  <c r="E8" i="5" l="1"/>
  <c r="K64" i="5" l="1"/>
  <c r="K62" i="5"/>
  <c r="F30" i="18" l="1"/>
  <c r="B15" i="3"/>
  <c r="X15" i="3" s="1"/>
  <c r="F23" i="5" s="1"/>
  <c r="G30" i="18" s="1"/>
  <c r="G35" i="3"/>
  <c r="B10" i="3"/>
  <c r="E21" i="5"/>
  <c r="F28" i="18" s="1"/>
  <c r="E19" i="5"/>
  <c r="E17" i="5"/>
  <c r="K71" i="5" l="1"/>
  <c r="B30" i="18"/>
  <c r="F23" i="18"/>
  <c r="F29" i="18"/>
  <c r="A23" i="5"/>
  <c r="B24" i="18"/>
  <c r="G15" i="5"/>
  <c r="E15" i="5"/>
  <c r="O20" i="5" l="1"/>
  <c r="N16" i="5"/>
  <c r="I123" i="5"/>
  <c r="N17" i="5" s="1"/>
  <c r="F120" i="5"/>
  <c r="N120" i="5" s="1"/>
  <c r="N13" i="5"/>
  <c r="N123" i="5"/>
  <c r="N65" i="5" s="1"/>
  <c r="F45" i="5"/>
  <c r="E45" i="5"/>
  <c r="D45" i="5"/>
  <c r="N18" i="5"/>
  <c r="K86" i="5"/>
  <c r="K69" i="5"/>
  <c r="L46" i="5"/>
  <c r="F25" i="5"/>
  <c r="F115" i="5"/>
  <c r="J110" i="5"/>
  <c r="M115" i="5"/>
  <c r="G115" i="5"/>
  <c r="L115" i="5"/>
  <c r="M110" i="5"/>
  <c r="F31" i="18"/>
  <c r="F25" i="18"/>
  <c r="L121" i="5"/>
  <c r="L122" i="5" s="1"/>
  <c r="L123" i="5" s="1"/>
  <c r="N20" i="5"/>
  <c r="E6" i="5"/>
  <c r="G45" i="5" l="1"/>
  <c r="G55" i="5"/>
  <c r="I56" i="5" s="1"/>
  <c r="I57" i="5" s="1"/>
  <c r="K67" i="5"/>
  <c r="F49" i="5"/>
  <c r="K49" i="5" s="1"/>
  <c r="N49" i="5" s="1"/>
  <c r="I46" i="5"/>
  <c r="I47" i="5" s="1"/>
  <c r="L47" i="5"/>
  <c r="K82" i="5"/>
  <c r="K84" i="5"/>
  <c r="B21" i="18"/>
  <c r="E16" i="18"/>
  <c r="B62" i="3"/>
  <c r="N84" i="5" l="1"/>
  <c r="K65" i="5"/>
  <c r="A3" i="26"/>
  <c r="AN2" i="26" s="1"/>
  <c r="A2" i="26"/>
  <c r="N68" i="5" l="1"/>
  <c r="I139" i="5" s="1"/>
  <c r="T2" i="26"/>
  <c r="AU2" i="26"/>
  <c r="M2" i="26"/>
  <c r="E2" i="26"/>
  <c r="AD2" i="26"/>
  <c r="B19" i="3" l="1"/>
  <c r="A115" i="5" l="1"/>
  <c r="H115" i="5"/>
  <c r="N92" i="5" l="1"/>
  <c r="M129" i="5" l="1"/>
  <c r="M126" i="5" s="1"/>
  <c r="N15" i="5"/>
  <c r="F24" i="18"/>
  <c r="N19" i="5" l="1"/>
</calcChain>
</file>

<file path=xl/comments1.xml><?xml version="1.0" encoding="utf-8"?>
<comments xmlns="http://schemas.openxmlformats.org/spreadsheetml/2006/main">
  <authors>
    <author>Савило Анастасия Николаевна</author>
  </authors>
  <commentList>
    <comment ref="A121" authorId="0" shapeId="0">
      <text>
        <r>
          <rPr>
            <sz val="9"/>
            <color indexed="81"/>
            <rFont val="Tahoma"/>
            <family val="2"/>
            <charset val="204"/>
          </rPr>
          <t>Овер (срок выборки НЕ истек): лимит овердрафта
ВКЛ (срок выборки НЕ истек): предельный размер единовр.задолженности
Разовый кредит, НВКЛ: остаток основного долга
Овер, ВКЛ (срок выборки истек): остаток основного долга</t>
        </r>
      </text>
    </comment>
    <comment ref="A122" authorId="0" shapeId="0">
      <text>
        <r>
          <rPr>
            <sz val="9"/>
            <color indexed="81"/>
            <rFont val="Tahoma"/>
            <family val="2"/>
            <charset val="204"/>
          </rPr>
          <t>Овер (срок выборки НЕ истек): лимит овердрафта
ВКЛ (срок выборки НЕ истек): предельный размер единовр.задолженности
Разовый кредит, НВКЛ: остаток основного долга
Овер, ВКЛ (срок выборки истек): остаток основного долга</t>
        </r>
      </text>
    </comment>
  </commentList>
</comments>
</file>

<file path=xl/sharedStrings.xml><?xml version="1.0" encoding="utf-8"?>
<sst xmlns="http://schemas.openxmlformats.org/spreadsheetml/2006/main" count="821" uniqueCount="509">
  <si>
    <t>подпись</t>
  </si>
  <si>
    <t>месяцев</t>
  </si>
  <si>
    <t>3.1</t>
  </si>
  <si>
    <t>3.2</t>
  </si>
  <si>
    <t>3.3</t>
  </si>
  <si>
    <t>Дата</t>
  </si>
  <si>
    <t>СПИСОК</t>
  </si>
  <si>
    <t>Наименование документа</t>
  </si>
  <si>
    <t>Описание формы предоставления</t>
  </si>
  <si>
    <t>Отметка о необходимости документа</t>
  </si>
  <si>
    <t>установленная форма Банка</t>
  </si>
  <si>
    <t>6</t>
  </si>
  <si>
    <t>Заявка на получение кредита</t>
  </si>
  <si>
    <t>копия*</t>
  </si>
  <si>
    <t>Да</t>
  </si>
  <si>
    <t>Нет</t>
  </si>
  <si>
    <t>Магазин</t>
  </si>
  <si>
    <t>Офис</t>
  </si>
  <si>
    <t>Склад</t>
  </si>
  <si>
    <t>Цех</t>
  </si>
  <si>
    <t>Производственная база</t>
  </si>
  <si>
    <t>Запрашиваемые условия кредитования:</t>
  </si>
  <si>
    <t>Раб.телефон:</t>
  </si>
  <si>
    <t>Моб.телефон:</t>
  </si>
  <si>
    <t>Адрес эл.почты*:</t>
  </si>
  <si>
    <t>3.4</t>
  </si>
  <si>
    <t>Месяц</t>
  </si>
  <si>
    <t>Год</t>
  </si>
  <si>
    <r>
      <t xml:space="preserve">Валюта кредита </t>
    </r>
    <r>
      <rPr>
        <i/>
        <sz val="10"/>
        <color theme="1"/>
        <rFont val="Arial"/>
        <family val="2"/>
        <charset val="204"/>
      </rPr>
      <t>(выбрать из списка)</t>
    </r>
    <r>
      <rPr>
        <sz val="10"/>
        <color theme="1"/>
        <rFont val="Arial"/>
        <family val="2"/>
        <charset val="204"/>
      </rPr>
      <t>:</t>
    </r>
  </si>
  <si>
    <r>
      <t>Получал ли Заявитель выручку от осуществления указанного в п.3.1 вида деятельности непрерывно на протяжении 12 последних месяцев?</t>
    </r>
    <r>
      <rPr>
        <i/>
        <sz val="10"/>
        <color theme="1"/>
        <rFont val="Arial"/>
        <family val="2"/>
        <charset val="204"/>
      </rPr>
      <t xml:space="preserve"> (выбрать из списка)</t>
    </r>
  </si>
  <si>
    <t>Подписывая и предоставляя в Банк настоящую заявку:</t>
  </si>
  <si>
    <t>2. Заявитель обязуется незамедлительно уведомлять Банк о любых изменениях в информации, предоставленной Банку при получении кредита.</t>
  </si>
  <si>
    <t xml:space="preserve">3. Заявитель выражает согласие на проведение анализа хозяйственной деятельности Заявителя. При этом Банк имеет право обращаться к любому лицу, известному или неизвестному Заявителю, которое, по мнению Банка, может оказать содействие в принятии решения о предоставлении кредита Заявителю. </t>
  </si>
  <si>
    <t xml:space="preserve">4. Заявитель извещен, что принятие к рассмотрению настоящей Заявки не означает возникновения у Банка обязательства по предоставлению кредита. </t>
  </si>
  <si>
    <t>5. Заявитель извещен, что при любом решении Банка о предоставлении кредита настоящая Заявка и прилагаемые к ней документы не возвращаются.</t>
  </si>
  <si>
    <t>6. Заявитель извещен, что в случае отказа от предоставления кредита Банк вправе не сообщать причин отказа.</t>
  </si>
  <si>
    <t>И.О. Фамилия</t>
  </si>
  <si>
    <t>М.П.</t>
  </si>
  <si>
    <t>Дата подписания заявки</t>
  </si>
  <si>
    <t xml:space="preserve">*Необходимо указать актуальный адрес электронной почты, поскольку данный адрес будет использоваться Банком для отправки Заявителю уведомлений (включая оферты, требования и иные сообщения), касающихся использования запрашиваемого  кредита. </t>
  </si>
  <si>
    <t xml:space="preserve">  документов на получение кредита ИП</t>
  </si>
  <si>
    <t>5</t>
  </si>
  <si>
    <t>1 USD =</t>
  </si>
  <si>
    <t xml:space="preserve">1 EUR = </t>
  </si>
  <si>
    <t>Наименование Заявителя:</t>
  </si>
  <si>
    <t>тыс.BYN</t>
  </si>
  <si>
    <t>тыс.USD</t>
  </si>
  <si>
    <t>тыс.EUR</t>
  </si>
  <si>
    <t>ВЫВОД:</t>
  </si>
  <si>
    <t>Кредитный продукт</t>
  </si>
  <si>
    <t>Обеспечение</t>
  </si>
  <si>
    <t>4.1</t>
  </si>
  <si>
    <t>4.2</t>
  </si>
  <si>
    <t>Поступает ли выручка Заявителя на текущие (расчетные) счета, открытые в других банках?</t>
  </si>
  <si>
    <t>Выручка, поступающая на р/с</t>
  </si>
  <si>
    <t>Кредитный продукт:</t>
  </si>
  <si>
    <t>Наименование поручителя:</t>
  </si>
  <si>
    <t>тыс.RUB</t>
  </si>
  <si>
    <t xml:space="preserve">1 RUB = </t>
  </si>
  <si>
    <t>Выручка в экв. валюты кредита (тыс. ед.):</t>
  </si>
  <si>
    <t xml:space="preserve">Уважаемый клиент! Просим Вас проверить, что заполнены все реквизиты Анкеты. В случае отстутствия информации просим указать в соответствующем реквизите «Нет». </t>
  </si>
  <si>
    <t>наименование лица, за которого поручаюсь</t>
  </si>
  <si>
    <t>Фамилия</t>
  </si>
  <si>
    <t>Имя, Отчество</t>
  </si>
  <si>
    <t>АДРЕС ПРОЖИВАНИЯ (если отличается от регистрации)</t>
  </si>
  <si>
    <t>индекс</t>
  </si>
  <si>
    <t>Область, район, город, улица, дом, квартира</t>
  </si>
  <si>
    <t>МЕСТО РАБОТЫ</t>
  </si>
  <si>
    <t>являюсь индивидуальным предпринимателем</t>
  </si>
  <si>
    <t>Организация</t>
  </si>
  <si>
    <t>наименование или "безработный" или "пенсионер"</t>
  </si>
  <si>
    <t>телефон организации</t>
  </si>
  <si>
    <t>Должность</t>
  </si>
  <si>
    <t>Не имею непогашенных судимостей</t>
  </si>
  <si>
    <t>Не являюсь обвиняемым, подозреваемым по каким-либо расследованиям</t>
  </si>
  <si>
    <t>КОНТАКТНАЯ ИНФОРМАЦИЯ</t>
  </si>
  <si>
    <t>дом. тел.</t>
  </si>
  <si>
    <t>моб. тел.</t>
  </si>
  <si>
    <t>раб. тел.</t>
  </si>
  <si>
    <t>Е-mail</t>
  </si>
  <si>
    <t>ФИО</t>
  </si>
  <si>
    <t>дата</t>
  </si>
  <si>
    <t xml:space="preserve">Правоспособность и дееспособность поручителя подтверждается </t>
  </si>
  <si>
    <t>подпись сотрудника Банка</t>
  </si>
  <si>
    <t>ФИО сотрудника Банка</t>
  </si>
  <si>
    <t>1.</t>
  </si>
  <si>
    <t>2.</t>
  </si>
  <si>
    <t>5.</t>
  </si>
  <si>
    <t>7.</t>
  </si>
  <si>
    <t>8.</t>
  </si>
  <si>
    <t>9.</t>
  </si>
  <si>
    <t>10.</t>
  </si>
  <si>
    <t>г. Минск</t>
  </si>
  <si>
    <t xml:space="preserve">Номер </t>
  </si>
  <si>
    <t xml:space="preserve">Дата </t>
  </si>
  <si>
    <t>Повестка дня:</t>
  </si>
  <si>
    <t>РЕШИЛИ:</t>
  </si>
  <si>
    <t>150 000,00 белорусских рублей</t>
  </si>
  <si>
    <t>Белорусский рубль</t>
  </si>
  <si>
    <t>12 месяцев</t>
  </si>
  <si>
    <t xml:space="preserve">Расчетная величина стандартного риска по новым кредитам в национальной валюте, предоставленным юридическим лицам </t>
  </si>
  <si>
    <t>Поручительство Жаврида Владимира Юрьевича</t>
  </si>
  <si>
    <t>Дополнительные условия</t>
  </si>
  <si>
    <t>1.Заключить кредитный договор не ранее погашения задолженности по действующему овердрафтному кредиту и исполнения иных обязательств (при наличии) по кредитному договору № 44-1/19 от 28.05.2019 и его последующего закрытия.</t>
  </si>
  <si>
    <t>Процентная ставка:</t>
  </si>
  <si>
    <t>Обеспечение:</t>
  </si>
  <si>
    <t>ЗА</t>
  </si>
  <si>
    <t>ПРОТИВ</t>
  </si>
  <si>
    <t>Правоспособность Заявителя:</t>
  </si>
  <si>
    <t>Правоспособность, дееспособность поручителя:</t>
  </si>
  <si>
    <t>Вывод о кредитонадежности Заявителя:</t>
  </si>
  <si>
    <t>Вывод о кредитонадежности поручителя:</t>
  </si>
  <si>
    <t>Курсы валют к 
BYN:</t>
  </si>
  <si>
    <t>Быстрое решение</t>
  </si>
  <si>
    <t>выручка</t>
  </si>
  <si>
    <t>1</t>
  </si>
  <si>
    <t>Подзарядка</t>
  </si>
  <si>
    <t>Овердрафт</t>
  </si>
  <si>
    <t>на получение кредита</t>
  </si>
  <si>
    <r>
      <t xml:space="preserve">Кредитный продукт </t>
    </r>
    <r>
      <rPr>
        <i/>
        <sz val="10"/>
        <color theme="1"/>
        <rFont val="Arial"/>
        <family val="2"/>
        <charset val="204"/>
      </rPr>
      <t>(выбрать из списка)</t>
    </r>
    <r>
      <rPr>
        <sz val="10"/>
        <color theme="1"/>
        <rFont val="Arial"/>
        <family val="2"/>
        <charset val="204"/>
      </rPr>
      <t>:</t>
    </r>
  </si>
  <si>
    <t>Кредитный экспресс</t>
  </si>
  <si>
    <t>Так просто</t>
  </si>
  <si>
    <t>Просто авто</t>
  </si>
  <si>
    <r>
      <t xml:space="preserve">Форма предоставления кредита </t>
    </r>
    <r>
      <rPr>
        <i/>
        <sz val="10"/>
        <color theme="1"/>
        <rFont val="Arial"/>
        <family val="2"/>
        <charset val="204"/>
      </rPr>
      <t>(выбрать из списка)</t>
    </r>
    <r>
      <rPr>
        <sz val="10"/>
        <color theme="1"/>
        <rFont val="Arial"/>
        <family val="2"/>
        <charset val="204"/>
      </rPr>
      <t>:</t>
    </r>
  </si>
  <si>
    <t>Возобновляемая кредитная линия</t>
  </si>
  <si>
    <t>Разовый кредит</t>
  </si>
  <si>
    <t>Невозобновляемая кредитная линия</t>
  </si>
  <si>
    <t>Валюта</t>
  </si>
  <si>
    <t>BYN</t>
  </si>
  <si>
    <t>USD</t>
  </si>
  <si>
    <t>EUR</t>
  </si>
  <si>
    <t>RUB</t>
  </si>
  <si>
    <t>Номер текущего счета</t>
  </si>
  <si>
    <t>Наименование обслуживающего банка</t>
  </si>
  <si>
    <r>
      <t xml:space="preserve">Цель кредита </t>
    </r>
    <r>
      <rPr>
        <i/>
        <sz val="10"/>
        <color theme="1"/>
        <rFont val="Arial"/>
        <family val="2"/>
        <charset val="204"/>
      </rPr>
      <t>(выбрать из списка)</t>
    </r>
    <r>
      <rPr>
        <sz val="10"/>
        <color theme="1"/>
        <rFont val="Arial"/>
        <family val="2"/>
        <charset val="204"/>
      </rPr>
      <t>:</t>
    </r>
  </si>
  <si>
    <t>ФОРМА</t>
  </si>
  <si>
    <t>ВАЛЮТА</t>
  </si>
  <si>
    <t>ЦЕЛИ</t>
  </si>
  <si>
    <t>финансирование долгосрочных активов</t>
  </si>
  <si>
    <t>финансирование краткосрочных активов</t>
  </si>
  <si>
    <t>сроки</t>
  </si>
  <si>
    <r>
      <t>Срок кредитования</t>
    </r>
    <r>
      <rPr>
        <i/>
        <sz val="10"/>
        <color theme="1"/>
        <rFont val="Arial"/>
        <family val="2"/>
        <charset val="204"/>
      </rPr>
      <t xml:space="preserve"> (выбрать из списка)</t>
    </r>
    <r>
      <rPr>
        <sz val="10"/>
        <color theme="1"/>
        <rFont val="Arial"/>
        <family val="2"/>
        <charset val="204"/>
      </rPr>
      <t>:</t>
    </r>
  </si>
  <si>
    <t>сроки транша/отсрочки</t>
  </si>
  <si>
    <r>
      <t xml:space="preserve">Есть ли у Заявителя открытые текущие (расчетные) счета в ЗАО "Банк "Решение"? </t>
    </r>
    <r>
      <rPr>
        <i/>
        <sz val="10"/>
        <color theme="1"/>
        <rFont val="Arial"/>
        <family val="2"/>
        <charset val="204"/>
      </rPr>
      <t>(выбрать из списка)</t>
    </r>
  </si>
  <si>
    <t>Информация об открытых текущих (расчетных) счетах в других банках:</t>
  </si>
  <si>
    <t>Подпись Заявителя</t>
  </si>
  <si>
    <t>Кредитный портфель Заявителя:</t>
  </si>
  <si>
    <t>Номер кредитного договора</t>
  </si>
  <si>
    <t>Цель кредита</t>
  </si>
  <si>
    <t>Процентная ставка по кредиту</t>
  </si>
  <si>
    <r>
      <t>Кредитный</t>
    </r>
    <r>
      <rPr>
        <sz val="8"/>
        <color theme="4" tint="0.79998168889431442"/>
        <rFont val="Calibri"/>
        <family val="2"/>
        <charset val="204"/>
        <scheme val="minor"/>
      </rPr>
      <t>_</t>
    </r>
    <r>
      <rPr>
        <sz val="8"/>
        <color theme="1"/>
        <rFont val="Calibri"/>
        <family val="2"/>
        <charset val="204"/>
        <scheme val="minor"/>
      </rPr>
      <t>экспресс</t>
    </r>
  </si>
  <si>
    <r>
      <t>Так</t>
    </r>
    <r>
      <rPr>
        <sz val="8"/>
        <color theme="4" tint="0.79998168889431442"/>
        <rFont val="Calibri"/>
        <family val="2"/>
        <charset val="204"/>
        <scheme val="minor"/>
      </rPr>
      <t>_</t>
    </r>
    <r>
      <rPr>
        <sz val="8"/>
        <color theme="1"/>
        <rFont val="Calibri"/>
        <family val="2"/>
        <charset val="204"/>
        <scheme val="minor"/>
      </rPr>
      <t>просто</t>
    </r>
  </si>
  <si>
    <r>
      <t>Просто</t>
    </r>
    <r>
      <rPr>
        <sz val="8"/>
        <color theme="4" tint="0.79998168889431442"/>
        <rFont val="Calibri"/>
        <family val="2"/>
        <charset val="204"/>
        <scheme val="minor"/>
      </rPr>
      <t>_</t>
    </r>
    <r>
      <rPr>
        <sz val="8"/>
        <color theme="1"/>
        <rFont val="Calibri"/>
        <family val="2"/>
        <charset val="204"/>
        <scheme val="minor"/>
      </rPr>
      <t>авто</t>
    </r>
  </si>
  <si>
    <t>ПРОДУКТЫ</t>
  </si>
  <si>
    <t>Уважаемый Заявитель! Просим Вас проверить, что заполнены все реквизиты Заявки, выделенные серым фоном. В случае отсутствия информации просим указать в соответствующем реквизите «Нет». Примерное время заполнения - 15 минут.</t>
  </si>
  <si>
    <r>
      <t xml:space="preserve">Обязан ли Заявитель вести бухгалтерский учет в соотвествии с законодательством Республики Беларусь? 
</t>
    </r>
    <r>
      <rPr>
        <i/>
        <sz val="10"/>
        <color theme="1"/>
        <rFont val="Arial"/>
        <family val="2"/>
        <charset val="204"/>
      </rPr>
      <t>(выбрать из списка)</t>
    </r>
  </si>
  <si>
    <t>Фамилия, имя, отчество</t>
  </si>
  <si>
    <t>Предлагаемый залог (в случае необходимости)</t>
  </si>
  <si>
    <t>Наименование / Фамилия, имя, отчество</t>
  </si>
  <si>
    <t>Тип взаимосвязи (выбрать из списка)</t>
  </si>
  <si>
    <t>Отношение к Заявителю 
(выбрать из списка)</t>
  </si>
  <si>
    <t>Залогодатель</t>
  </si>
  <si>
    <t>Наименование предмета залога</t>
  </si>
  <si>
    <t>Тип предмета залога</t>
  </si>
  <si>
    <t>Ранее предоставлены в ЗАО "Банк "Решение" копии следующих документов, которые на дату подписания заявки являются актуальными, изменения в них не вносились:</t>
  </si>
  <si>
    <t>&lt;- Начните заполнение с этой строки</t>
  </si>
  <si>
    <r>
      <t xml:space="preserve">Способ предоставления кредита </t>
    </r>
    <r>
      <rPr>
        <i/>
        <sz val="10"/>
        <color theme="1"/>
        <rFont val="Arial"/>
        <family val="2"/>
        <charset val="204"/>
      </rPr>
      <t>(выбрать из списка)</t>
    </r>
    <r>
      <rPr>
        <sz val="10"/>
        <color theme="1"/>
        <rFont val="Arial"/>
        <family val="2"/>
        <charset val="204"/>
      </rPr>
      <t>:</t>
    </r>
  </si>
  <si>
    <t>устранение кассовых разрывов</t>
  </si>
  <si>
    <t>способы предоставления</t>
  </si>
  <si>
    <t>на счета третьих лиц</t>
  </si>
  <si>
    <t>на текущий счет в Банке</t>
  </si>
  <si>
    <t>Цель кредита (подробно):</t>
  </si>
  <si>
    <t xml:space="preserve"> Сведения об организациях, участником (учредителем, руководителем) которых является Заявитель и/или учредитель Заявителя и/ли физическое лицо, состоящее в отношениях (брачных) близкого родства или свойства с учредителем Заявителя, а так же об организациях, связанных с Заявителем экономически и (или) юридически таким образом, что ухудшение их финансового положения обусловливает или делает вероятным ухудшение финансового положения Заявителя:</t>
  </si>
  <si>
    <t>Форма предоставления кредита:</t>
  </si>
  <si>
    <t>Цель кредита:</t>
  </si>
  <si>
    <t>Цель кредита (побробно):</t>
  </si>
  <si>
    <t>Срок кредита:</t>
  </si>
  <si>
    <t>Запрашиваемые условия сделки:</t>
  </si>
  <si>
    <t>Сумма кредита:</t>
  </si>
  <si>
    <t>Критерии пллатежеспособности:</t>
  </si>
  <si>
    <t>Вывод о выполнении критерия</t>
  </si>
  <si>
    <t>Базовые требования к Заявителю:</t>
  </si>
  <si>
    <t>Собственный капитал имеет положительное значение по итогам последнего отчетного года</t>
  </si>
  <si>
    <t>Чистая прибыль имеет положительное значение по итогам последнего отчетного года</t>
  </si>
  <si>
    <t>Просроченная задолженность по ранее выданным и непогашенным кредитам (иным активным операциям) на дату получения кредитного отчета</t>
  </si>
  <si>
    <t>Просроченная задолженность по уплате процентов и(или) основного долга по кредитам банков длительностью более 7 календарных дней подряд за 3 полных последних месяца, предшествующих месяцу составления настоящего заключения, и до даты получения кредитного отчета</t>
  </si>
  <si>
    <t>Просроченная задолженность по уплате процентов и(или) основного долга по кредитам банков длительностью более 30 календарных дней подряд за 12 полных последних месяцев, предшествующих месяцу составления настоящего заключения, и до даты получения кредитного отчета</t>
  </si>
  <si>
    <t>Документы в АИС ИДО на дату осуществления запроса</t>
  </si>
  <si>
    <t>Размер задолженности Заявителя по действующим кредитам в ЗАО "Банк "Решение", выданным по упрощенной процедуре микрокредитования (в том числе овердрафты и "Подзарядка"):</t>
  </si>
  <si>
    <t>Для Кредитного экспресса:</t>
  </si>
  <si>
    <t>Доля просроченной дебиторской задолженности, %</t>
  </si>
  <si>
    <t>Отношение дебиторской задолженности к среднемесячной выручке</t>
  </si>
  <si>
    <t>Доля просроченной кредиторской задолженности, %</t>
  </si>
  <si>
    <t>Отношение кредиторской задолженности к среднемесячной выручке</t>
  </si>
  <si>
    <t>ЗАКЛЮЧЕНИЕ КРЕДИТНОГО ЭКСПЕРТА</t>
  </si>
  <si>
    <t>Отношение ежемесячного взноса* к среднемесячной выручке</t>
  </si>
  <si>
    <t>погашение кредитов на долгосрочные активы, лизинга</t>
  </si>
  <si>
    <t>погашение кредитов на краткосрочные активы</t>
  </si>
  <si>
    <t>Для Так просто:</t>
  </si>
  <si>
    <t>Для Просто авто:</t>
  </si>
  <si>
    <t>Ежемесячный взнос по действующим кредитным операциям, BYN</t>
  </si>
  <si>
    <t>6.1</t>
  </si>
  <si>
    <t>6.2</t>
  </si>
  <si>
    <t>Отношение среднемесячной чистой прибыли/чистого дохода к ежемесячному взносу* по кредитам на долгосрочные активы</t>
  </si>
  <si>
    <t xml:space="preserve">На основании проанализированных выше показателей Заявитель признается </t>
  </si>
  <si>
    <t>&lt;- Если поручителей больше, добавить строки ниже</t>
  </si>
  <si>
    <t>Поручительство:</t>
  </si>
  <si>
    <t>Залог:</t>
  </si>
  <si>
    <t>Дисконт, %</t>
  </si>
  <si>
    <t>Место нахождения предмета залога</t>
  </si>
  <si>
    <t>Коэффициент покрытия задолженности залогом:</t>
  </si>
  <si>
    <t>Вид деятельности Заявителя:</t>
  </si>
  <si>
    <t>пор-во для тп</t>
  </si>
  <si>
    <t>проверка суммы:</t>
  </si>
  <si>
    <t>Устанавливаемая сумма кредита:</t>
  </si>
  <si>
    <t>экв суммы в бел:</t>
  </si>
  <si>
    <t>Критерии платежеспособности:</t>
  </si>
  <si>
    <t>Свидетельство о государственной регистрации</t>
  </si>
  <si>
    <t xml:space="preserve">1. Заявитель подтверждает, что вся изложенная в Заявке информация является подлинной, соответствует действительности на дату заполнения настоящей заявки. Заявитель уведомлен, что за предоставление недостоверных сведений при получении кредита предусмотрена ответственность в соответствии с законодательством. </t>
  </si>
  <si>
    <t>Основной вид(ы) деятельности:</t>
  </si>
  <si>
    <t>ЗАО «БАНК «РЕШЕНИЕ»</t>
  </si>
  <si>
    <t>Валюта кредита</t>
  </si>
  <si>
    <t>Срок кредита</t>
  </si>
  <si>
    <t>До заключения кредитного договора необходимо предоставить копию протокола общего собрания участников/решения единственного участника о совершении крупной сделки  и наделении руководителя/иного лица полномочиями на заключение кредитного договора.</t>
  </si>
  <si>
    <t>До заключения кредитного договора нобходимо предоставить копию решения учредителя о совершении сделки - заключении кредитного договора.</t>
  </si>
  <si>
    <t>До заключения кредитного договора необходимо предоставить копию протокола общего собрания участников/решения единственного участника о совершении сделки - заключении кредитного договора.</t>
  </si>
  <si>
    <t>Предоставление решений не требуется.</t>
  </si>
  <si>
    <t>Нужно ли производить расчет крупности:</t>
  </si>
  <si>
    <t>Является ли сделка крупной для общества</t>
  </si>
  <si>
    <t>Отношение суммы сделки к стоимости активов</t>
  </si>
  <si>
    <t>Сумма сделки:</t>
  </si>
  <si>
    <t>Стоимость активов общества (строка 300 бухгалтерского баланса на последнюю отчетную дату для ОСН), BYN</t>
  </si>
  <si>
    <t xml:space="preserve">  документов на получение кредита юридическому лицу</t>
  </si>
  <si>
    <t>7</t>
  </si>
  <si>
    <t>Документы по поручителю-физическому лицу:</t>
  </si>
  <si>
    <t>Анкета поручителя</t>
  </si>
  <si>
    <t>9</t>
  </si>
  <si>
    <t>Документы по залогодателю-третьему лицу</t>
  </si>
  <si>
    <r>
      <t>Дополнительно</t>
    </r>
    <r>
      <rPr>
        <i/>
        <sz val="10"/>
        <color indexed="8"/>
        <rFont val="Arial"/>
        <family val="2"/>
        <charset val="204"/>
      </rPr>
      <t xml:space="preserve"> могут быть запрошены любые другие документы, которые, по мнению банка, могут влиять на принятие решения о предоставлении кредита.</t>
    </r>
  </si>
  <si>
    <t>8</t>
  </si>
  <si>
    <t>Калькулятор расчета гипотететического взноса по кредиту</t>
  </si>
  <si>
    <t>Сумма</t>
  </si>
  <si>
    <t>Срок</t>
  </si>
  <si>
    <t>Процентная ставка</t>
  </si>
  <si>
    <t>Сумма взноса</t>
  </si>
  <si>
    <t>Список документов на имущество, предоставляемое в залог.</t>
  </si>
  <si>
    <t>Список документов на предоставляемые в залог объекты недвижимого имущества:</t>
  </si>
  <si>
    <t>Акт о внутренней оценке или Заключение и отчет о независимой оценке</t>
  </si>
  <si>
    <t>оригинал</t>
  </si>
  <si>
    <t>Залоговая опись</t>
  </si>
  <si>
    <t>Свидетельство (удостоверение)  о регистрации права собственности (права хозяйственного ведения)  на объект недвижимости (предоставляется при наличии)</t>
  </si>
  <si>
    <t>копия</t>
  </si>
  <si>
    <t xml:space="preserve">В случае отсутствия свидетельства (удостоверения):
Выписка  из регистрационной книги о правах, ограничениях, обременениях прав на капитальное строение (изолированное помещение или машино-место). </t>
  </si>
  <si>
    <t>Технический паспорт на объект недвижимости с Приложениями к нему (план объекта).</t>
  </si>
  <si>
    <t>В случае наличия у залогодателя прав на земельный участок:
Свидетельство (удостоверение) о регистрации прав на земельный участок, и/либо государственный акт на земельный участок  (предоставляется при наличии)</t>
  </si>
  <si>
    <t>В случае если правоустанавливающих документов на земельный участок нет в наличии:
Выписка из регистрационной книги о правах, ограничениях (обременениях) прав на земельный участок.</t>
  </si>
  <si>
    <t xml:space="preserve">В случае аренды земельного участка:
- Договор аренды земельного участка
- Справка из землеустроительной службы местного исполнительного органа </t>
  </si>
  <si>
    <t>- копия
- оригинал</t>
  </si>
  <si>
    <t>В случае залога жилой недвижимости:
Выписка из лицевого счёта собственника или справка ЖЭУ (товарищества собственников) или исполкома о проживающих и имеющих право пользования жилым помещением лицах</t>
  </si>
  <si>
    <t>В случае если предмет залога является историко-культурной ценностью:
Охранное обязательство на историко-культурную ценность.</t>
  </si>
  <si>
    <t>В случае, если предмет залога передан в аренду, финансовую аренду (лизинг):
Договор(-ы) аренды, финансовой аренды (лизинга) и/или реестр договоров (с указанием номера и даты договора, арендатора (лизингополучателя), срока действия, арендной ставки)</t>
  </si>
  <si>
    <t>копия / оригинал</t>
  </si>
  <si>
    <t>Для физических лиц (индивидуальных предпринимателей): 
Подписанное в присутствии работника ответственного подразделения Банка согласие супруги (супруга) залогодателя на передачу недвижимого имущества в залог (кроме случаев, когда договор ипотеки заключается в нотариальной форме).</t>
  </si>
  <si>
    <t>Для частных унитарных предприятий:
- Согласие учредителя на передачу недвижимого имущества в залог;
- Если учредителем унитарного предприятия является физическое лицо - подписанное в присутствии работника ответственного подразделения Банка согласие супруги (супруга) учредителя на передачу недвижимого имущества в залог (кроме случаев, когда договор ипотеки заключается в нотариальной форме).</t>
  </si>
  <si>
    <t>Список документов на предоставляемые в залог права:</t>
  </si>
  <si>
    <t>Проект договора купли-продажи, подписанный сторонами или договор купли-продажи со всеми приложениями и доп.соглашениями.</t>
  </si>
  <si>
    <t>Для имущественных прав на приобретение оборудования:
Информация о технических характеристиках, если таковая отсутствует в договоре купли-продажи (при наличии).</t>
  </si>
  <si>
    <t>Для имущественных прав на приобретение созданной недвижимости:
Технический паспорт на объект недвижимости с приложениями (в случае наличия).</t>
  </si>
  <si>
    <t>Список документов на предоставляемые в залог права (лизинговые платежи):</t>
  </si>
  <si>
    <r>
      <rPr>
        <u/>
        <sz val="10"/>
        <color theme="1"/>
        <rFont val="Arial"/>
        <family val="2"/>
        <charset val="204"/>
      </rPr>
      <t xml:space="preserve">Если передаются в залог имущественные права по 10 договорам, или менее: </t>
    </r>
    <r>
      <rPr>
        <sz val="10"/>
        <color theme="1"/>
        <rFont val="Arial"/>
        <family val="2"/>
        <charset val="204"/>
      </rPr>
      <t xml:space="preserve">
- договоры финансовой аренды (лизинга) со всеми приложениями и доп.соглашениями; 
- выписка из бух.учета (счет 62) с разбивкой по контрагентам (при возможности предоставления).</t>
    </r>
    <r>
      <rPr>
        <u/>
        <sz val="10"/>
        <color theme="1"/>
        <rFont val="Arial"/>
        <family val="2"/>
        <charset val="204"/>
      </rPr>
      <t/>
    </r>
  </si>
  <si>
    <r>
      <rPr>
        <u/>
        <sz val="10"/>
        <color theme="1"/>
        <rFont val="Arial"/>
        <family val="2"/>
        <charset val="204"/>
      </rPr>
      <t>Если передаются в залог имущественные права по более чем 10-ти договорам:</t>
    </r>
    <r>
      <rPr>
        <sz val="10"/>
        <color theme="1"/>
        <rFont val="Arial"/>
        <family val="2"/>
        <charset val="204"/>
      </rPr>
      <t xml:space="preserve">
 - типовая форма договора (в случае наличия);
- не менее 10-ти договоров, по которым передаются в залог имущественные права, со всеми приложениями и доп.соглашениями; 
- выписка из бухгалтерского учета (счет 62) с разбивкой по контрагентам (при возможности предоставления)</t>
    </r>
  </si>
  <si>
    <t>- копия
- копия
- оригинал</t>
  </si>
  <si>
    <t>Список документов на предоставляемые в залог права (дебиторская задолженность):</t>
  </si>
  <si>
    <t>Договоры поставки со всеми приложениями и доп.соглашениями</t>
  </si>
  <si>
    <t>Акты сверки, подписанные залогодателем и его контрагентам</t>
  </si>
  <si>
    <t>Оборотно-сальдовая ведомость по 62 счету за последние 6 месяцев (в развернутом виде по контрагентам помесячно – при возможности предоставления).</t>
  </si>
  <si>
    <t>Список документов на предоставляемые в залог транспортные средства:</t>
  </si>
  <si>
    <t>Свидетельство о регистрации (технический паспорт) или договор купли-продажи – для транспортных средств, подлежащих регистрации в органах ГАИ</t>
  </si>
  <si>
    <t>Страховой полис на условиях «полное автокаско» (предоставляется при наличии)</t>
  </si>
  <si>
    <t>Если место хранения транспортного средства отличается от адреса, указанного в свидетельстве о регистрации ТС:
Договоры аренды площадей (стоянки, машино-места, гаража) и другие документы, являющиеся основанием хранения транспортного(ых) средств во внеэксплуатационный период  (в случае наличия).</t>
  </si>
  <si>
    <t>Если транспортное средство передано в аренду, финансовую аренду (лизинг):
Договор аренды, финансовой аренды (лизинга).</t>
  </si>
  <si>
    <r>
      <t xml:space="preserve">Если имущество приобретено в течение </t>
    </r>
    <r>
      <rPr>
        <b/>
        <sz val="10"/>
        <color theme="1"/>
        <rFont val="Arial"/>
        <family val="2"/>
        <charset val="204"/>
      </rPr>
      <t>трех месяцев</t>
    </r>
    <r>
      <rPr>
        <sz val="10"/>
        <color theme="1"/>
        <rFont val="Arial"/>
        <family val="2"/>
        <charset val="204"/>
      </rPr>
      <t xml:space="preserve"> до подачи заявки на кредит:
Договор купли-продажи со всеми приложениями (в т.ч. ТТН или акт приема-передачи) и доп.соглашениями.
</t>
    </r>
  </si>
  <si>
    <t xml:space="preserve">Для физических лиц (индивидуальных предпринимателей):
Согласие супруги (супруга) залогодателя на передачу имущества в залог. </t>
  </si>
  <si>
    <t>Для частных унитарных предприятий:
- Согласие учредителя на передачу имущества в залог, если согласно Уставу частного унитарного предприятия такое согласие требуется;
- Если учредителем унитарного предприятия является физическое лицо - согласие супруги (супруга) учредителя на передачу имущества в залог.</t>
  </si>
  <si>
    <t>Список документов на предоставляемое в залог оборудование (кроме оборудования, переданного в лизинг третьим лицам):</t>
  </si>
  <si>
    <t>Ведомость по счету 01 «Основные средства» и по счету 02 «Амортизация основных средств»  либо справка/отчет об основных средствах с указанием балансовой стоимости основных средств на 1 января текущего года и остаточной стоимости на 1 число текущего месяца (при ведении бухгалтерского учета);</t>
  </si>
  <si>
    <t>Договор купли-продажи, либо иной документ, подтверждающий приобретение права собственности</t>
  </si>
  <si>
    <t>Документы, подтверждающие оплату и получение предмета залога (ТТН, платежные документы) - в случае, если согласно ДКП право собственности переходит залогодателю после полной оплаты</t>
  </si>
  <si>
    <t>Договор аренды площадей (складов, территорий), если имущество эксплуатируется (хранится) не на собственных площадях залогодателя</t>
  </si>
  <si>
    <t>Договор страхования от утраты, повреждения (в случае наличия)</t>
  </si>
  <si>
    <t>Техническая документация на имущество (в случае наличия).</t>
  </si>
  <si>
    <t>Список документов на предоставляемое в залог оборудование, переданное в лизинг третьим лицам:</t>
  </si>
  <si>
    <t>Если имущество числится на балансе либо на забалансовом счете:
ведомость по соответствующему счету</t>
  </si>
  <si>
    <t>Договор финансовой аренды (лизинга)</t>
  </si>
  <si>
    <t xml:space="preserve">Для индивидуальных предпринимателей:
Согласие супруги (супруга) залогодателя на передачу имущества в залог. </t>
  </si>
  <si>
    <t xml:space="preserve">Представляемые Участником сделки документы быть оформлены следующим образом:
– и/или заверены подписью представителя Участника сделки. Учиняется надпись «копия верна», указывается должность, фамилия, имя, отчество (при наличии), дата, проставляется собственноручная подпись представителя Участника сделки и скрепляется печатью, при ее наличии у Участника сделки (печатью по желанию Участника сделки копии документов могут не скрепляться);
– и/или заверены КМ/АМ, который принимает пакет документов. При этом КМ/АМ проставляет на изготовленной копии документа надпись «сверено с оригиналом» или «с оригиналом сверено», указывает свою фамилию, имя, отчество (при наличии), должность, дату
оригиналы предоставляемых документов должны быть:
- для юридического лица - подписаны руководителем юридического лица (уполномоченным сотрудником предприятия) и заверены печатью юридического лица;
- для индивидуального предпринимателя - подписаны индивидуальным предпринимателем и заверены печатью индивидуального предпринимателя (при наличии);
- для физического лица - подписаны подписью физического лица.
</t>
  </si>
  <si>
    <t xml:space="preserve">                    документов, необходимых для оформления залога третьего лица</t>
  </si>
  <si>
    <t>При оформлении залога физического лица:</t>
  </si>
  <si>
    <t>При оформлении залога индивидуального предпринимателя:</t>
  </si>
  <si>
    <t>2</t>
  </si>
  <si>
    <t>3</t>
  </si>
  <si>
    <t>4</t>
  </si>
  <si>
    <t>При оформлении залога юридического лица:</t>
  </si>
  <si>
    <t>Анкета залогодателя</t>
  </si>
  <si>
    <t xml:space="preserve">Представляемые Участником сделки копии документов должны быть оформлены следующим образом:
– и/или заверены подписью представителя Участника сделки. Учиняется надпись «копия верна», указывается должность, фамилия, имя, отчество (при наличии), дата, проставляется собственноручная подпись представителя Участника сделки и скрепляется печатью, при ее наличии у Участника сделки (печатью по желанию Участника сделки копии документов могут не скрепляться);
– и/или заверены КМ/АМ, который принимает пакет документов. При этом КМ/АМ проставляет на изготовленной копии документа надпись «сверено с оригиналом» или «с оригиналом сверено», указывает свою фамилию, имя, отчество (при наличии), должность, дату
оригиналы предоставляемых документов должны быть:
- для юридического лица - подписаны руководителем юридического лица (уполномоченным сотрудником предприятия) и заверены печатью юридического лица;
- для индивидуального предпринимателя - подписаны индивидуальным предпринимателем и заверены печатью индивидуального предпринимателя (при наличии);
- для физического лица - подписаны подписью физического лица.
</t>
  </si>
  <si>
    <t>Анкета поручителя/залогодателя для физического лица / индивидуального предпринимателя</t>
  </si>
  <si>
    <t>Настоящим выражаю готовность выступить поручителем/залогодателем за</t>
  </si>
  <si>
    <t>Поручитель / Залогодатель</t>
  </si>
  <si>
    <t>МП (в случае наличия печати)</t>
  </si>
  <si>
    <t>Приложение 1.6  к Положению о порядке предоставления субъектам хозяйствования Кредитных продуктов категории "Экспресс" в ЗАО "Банк "Решение"</t>
  </si>
  <si>
    <t>Анкета залогодателя для юридического лица</t>
  </si>
  <si>
    <t>Настоящим выражаю готовность выступить залогодателем за</t>
  </si>
  <si>
    <t>наименование лица, за которого поручаюсь / выступаю залогодателем</t>
  </si>
  <si>
    <t>Полное наименованеие юридического лица</t>
  </si>
  <si>
    <t>Юридический адрес</t>
  </si>
  <si>
    <t>Область, район, населенный пункт, улица, дом, офис</t>
  </si>
  <si>
    <t xml:space="preserve">Сообщаем, что представили для подтверждения своей правоспособности и полномочий органов управления, представителей учредительные и иные документы в контрольном состоянии (с учетом всех изменений и дополнений) на дату заполнения Заявки. Органы управления избраны согласно установленной процедуре, являются легитимными, корпоративных споров между участниками нет. </t>
  </si>
  <si>
    <t xml:space="preserve">Подтверждаем, что отсутствуют ограничения на совершение сделок, в том числе отсутствуют ограничения полномочий органов управления и представителей, помимо прямо предусмотренных представленными в ЗАО «Банк «Решение» учредительными документами.  </t>
  </si>
  <si>
    <t>КОНТАКТНОЕ ЛИЦО</t>
  </si>
  <si>
    <t>Подтверждаем, что отсутствуют ограничения на совершение сделок, в том числе отсутствуют ограничения полномочий органов управления и представителей</t>
  </si>
  <si>
    <t xml:space="preserve">Сообщаем, что существуют ограничения на совершение сделок с ЗАО «Банк «Решение» (в том числе ограничения полномочий органов управления и представителей), предусмотренные в следующих прилагаемых документах: </t>
  </si>
  <si>
    <t>ЗАПОЛНИТЕ, ПОЖАЛУЙСТА РОЗОВЫЕ ЯЧЕЙКИ</t>
  </si>
  <si>
    <t>Залогодатель:</t>
  </si>
  <si>
    <t>Опись предоставляемых в залог транспортных средств и автотехники</t>
  </si>
  <si>
    <t>Наименование и марка автотехники</t>
  </si>
  <si>
    <t>Регистра-ционный знак*</t>
  </si>
  <si>
    <t>Номер кузова (шасси)</t>
  </si>
  <si>
    <t>Год выпуска</t>
  </si>
  <si>
    <t>Объем двигателя, л</t>
  </si>
  <si>
    <t>Тип двигателя</t>
  </si>
  <si>
    <t>Трансмиссия</t>
  </si>
  <si>
    <t>*Регистрационный знак может не указываться, если на момент составления настоящей Описи он неизвестен (автотехника не зарегистрирована в ГАИ)</t>
  </si>
  <si>
    <t>Место хранения объектов (во внеэксплуатационный период):</t>
  </si>
  <si>
    <t xml:space="preserve">Предлагаемое в залог имущество: </t>
  </si>
  <si>
    <t>Ранее заложено в ЗАО «Банк «Решение»</t>
  </si>
  <si>
    <t>Передано в доверительное управление</t>
  </si>
  <si>
    <t>Ранее заложено в ином банке</t>
  </si>
  <si>
    <t>Находится в споре или под арестом</t>
  </si>
  <si>
    <t>Сдано в аренду (лизинг)</t>
  </si>
  <si>
    <t xml:space="preserve">Иное обременение:  </t>
  </si>
  <si>
    <t>Сведения о вещном праве на имущество:</t>
  </si>
  <si>
    <t>Право собственности</t>
  </si>
  <si>
    <t>Сведения об оплате:</t>
  </si>
  <si>
    <t>Полностью оплачено</t>
  </si>
  <si>
    <t>Оплачено частично в размере</t>
  </si>
  <si>
    <t>Приобретено на территории Республики Беларусь</t>
  </si>
  <si>
    <t>Приобретено за пределами Республики Беларусь, таможенные пошлины и НДС уплачены полностью</t>
  </si>
  <si>
    <t xml:space="preserve">Приобретено за пределами Республики Беларусь, таможенные пошлины и НДС не уплачены в сумме </t>
  </si>
  <si>
    <t>на основании</t>
  </si>
  <si>
    <t>С примерной формой предполагаемого к заключению договора залога ознакомлен и согласен:</t>
  </si>
  <si>
    <t>Ознакомлен, протокол разногласий прилагается</t>
  </si>
  <si>
    <t>расшифровка</t>
  </si>
  <si>
    <t>АКТ №б/н</t>
  </si>
  <si>
    <t xml:space="preserve">о внутренней оценке имущества от </t>
  </si>
  <si>
    <t>дата оценки</t>
  </si>
  <si>
    <t>Исполнитель оценки:</t>
  </si>
  <si>
    <t>полное наименование залогодателя</t>
  </si>
  <si>
    <t>Цель оценки:</t>
  </si>
  <si>
    <t>для передачи в залог ЗАО «Банк «Решение».</t>
  </si>
  <si>
    <r>
      <t>Дата оценки: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/>
    </r>
  </si>
  <si>
    <t>Тип имущества:</t>
  </si>
  <si>
    <r>
      <t>Объект оценки</t>
    </r>
    <r>
      <rPr>
        <b/>
        <sz val="12"/>
        <color theme="1"/>
        <rFont val="Times New Roman"/>
        <family val="1"/>
        <charset val="204"/>
      </rPr>
      <t xml:space="preserve">: </t>
    </r>
  </si>
  <si>
    <t>Год выпуска объекта оценки:</t>
  </si>
  <si>
    <t>Передается ли объект оценки в краткосрочную аренду / используется ли под такси / учебный транспорт либо планируется к такой передаче?</t>
  </si>
  <si>
    <t>Валюта оценки:</t>
  </si>
  <si>
    <r>
      <t>Метод оценки:</t>
    </r>
    <r>
      <rPr>
        <sz val="12"/>
        <color theme="1"/>
        <rFont val="Times New Roman"/>
        <family val="1"/>
        <charset val="204"/>
      </rPr>
      <t xml:space="preserve"> </t>
    </r>
  </si>
  <si>
    <t>рыночный (сравнительный).</t>
  </si>
  <si>
    <r>
      <t>Данные, используемые при оценке:</t>
    </r>
    <r>
      <rPr>
        <sz val="12"/>
        <color theme="1"/>
        <rFont val="Times New Roman"/>
        <family val="1"/>
        <charset val="204"/>
      </rPr>
      <t xml:space="preserve"> </t>
    </r>
  </si>
  <si>
    <t>цены предложений аналогичных объектов, схожих с объектом оценки по основным характеристикам.</t>
  </si>
  <si>
    <t>Курсы валют НБ РБ на дату оценки:</t>
  </si>
  <si>
    <t>1 USD</t>
  </si>
  <si>
    <t>1 EUR</t>
  </si>
  <si>
    <t>1 RUB</t>
  </si>
  <si>
    <t>Расчет стоимости объекта оценки:</t>
  </si>
  <si>
    <t>Параметры</t>
  </si>
  <si>
    <t>Аналог 1</t>
  </si>
  <si>
    <t>Аналог 2</t>
  </si>
  <si>
    <t>Аналог 3</t>
  </si>
  <si>
    <r>
      <t>Наименование</t>
    </r>
    <r>
      <rPr>
        <sz val="8"/>
        <color theme="1"/>
        <rFont val="Times New Roman"/>
        <family val="1"/>
        <charset val="204"/>
      </rPr>
      <t> </t>
    </r>
  </si>
  <si>
    <r>
      <t>Адрес объявления</t>
    </r>
    <r>
      <rPr>
        <sz val="8"/>
        <color theme="1"/>
        <rFont val="Times New Roman"/>
        <family val="1"/>
        <charset val="204"/>
      </rPr>
      <t> </t>
    </r>
  </si>
  <si>
    <r>
      <t xml:space="preserve">Результат внутренней оценки: </t>
    </r>
    <r>
      <rPr>
        <sz val="12"/>
        <color theme="1"/>
        <rFont val="Times New Roman"/>
        <family val="1"/>
        <charset val="204"/>
      </rPr>
      <t/>
    </r>
  </si>
  <si>
    <t>№
п.п.</t>
  </si>
  <si>
    <t>Предмет залога</t>
  </si>
  <si>
    <r>
      <t>1</t>
    </r>
    <r>
      <rPr>
        <sz val="8"/>
        <color theme="1"/>
        <rFont val="Times New Roman"/>
        <family val="1"/>
        <charset val="204"/>
      </rPr>
      <t> </t>
    </r>
  </si>
  <si>
    <t>Приложение №1</t>
  </si>
  <si>
    <t>к Акту о внутренней оценке имущества от</t>
  </si>
  <si>
    <r>
      <t>Аналог 1</t>
    </r>
    <r>
      <rPr>
        <sz val="12"/>
        <color theme="1"/>
        <rFont val="Times New Roman"/>
        <family val="1"/>
        <charset val="204"/>
      </rPr>
      <t> </t>
    </r>
  </si>
  <si>
    <t>*Адрес объявления + скрин объявления со стоимостью</t>
  </si>
  <si>
    <t xml:space="preserve">установленная форма Банка </t>
  </si>
  <si>
    <t>Итого:</t>
  </si>
  <si>
    <t>% снижения</t>
  </si>
  <si>
    <t>Расчет крупной сделки - заключении кредитного договора (заполняется только для хозяйственных обществ)</t>
  </si>
  <si>
    <t>Расчет крупной сделки - заключении договора залога (заполняется только для хозяйственных обществ)</t>
  </si>
  <si>
    <t>До заключения договора залога необходимо предоставить копию протокола общего собрания участников/решения единственного участника о совершении крупной сделки  и наделении руководителя/иного лица полномочиями на заключение договора залога.</t>
  </si>
  <si>
    <t>Если нет залога - удалить эту строку</t>
  </si>
  <si>
    <t>Дополнительное обеспечение</t>
  </si>
  <si>
    <t>Индивидуальные условия примерной формы</t>
  </si>
  <si>
    <t>опрошен</t>
  </si>
  <si>
    <t>Наименование вопроса:</t>
  </si>
  <si>
    <t xml:space="preserve">2. </t>
  </si>
  <si>
    <t>3.</t>
  </si>
  <si>
    <t>4.</t>
  </si>
  <si>
    <t>ID задача:</t>
  </si>
  <si>
    <t>Проект решения согласован с ЮУ ID задача</t>
  </si>
  <si>
    <t>дата подписания:</t>
  </si>
  <si>
    <t>Срок предоставления денежных средств</t>
  </si>
  <si>
    <t>Форма предоставления кредита</t>
  </si>
  <si>
    <t>Способ предоставления кредита</t>
  </si>
  <si>
    <t>Ознакомить с данным решением ОПКК (Игруша Т.В.), ОСКО (Булгак И.Н.).</t>
  </si>
  <si>
    <t>Условия возникновения обязательств по кредитованию</t>
  </si>
  <si>
    <t>Обязательства по кредитованию возникают с даты заключения  кредитного договора и договоров обеспечения</t>
  </si>
  <si>
    <t>Поручительство с размером ответственности поручителя, равным размеру ответственности Кредитополучателя с солидарной ответственностью ….</t>
  </si>
  <si>
    <t>Классификация актива</t>
  </si>
  <si>
    <t>взнос по нашему кредиту</t>
  </si>
  <si>
    <t>легковые автомобили</t>
  </si>
  <si>
    <t>мотоциклы</t>
  </si>
  <si>
    <t>грузовые автомобили, прицепы и полуприцепы, автобусы</t>
  </si>
  <si>
    <t>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</t>
  </si>
  <si>
    <t>воздушный и водный транспорт</t>
  </si>
  <si>
    <t>Нормативные значения</t>
  </si>
  <si>
    <t>&lt;=3</t>
  </si>
  <si>
    <t>&gt;=0</t>
  </si>
  <si>
    <t>&lt;=2</t>
  </si>
  <si>
    <t>Среднемесячный объем поступлений выручки на текущие (расчетные) банковские счета в Банке за 12 последних полных месяцев в эквиваленте валюты кредита</t>
  </si>
  <si>
    <t>Максимально возможный лимит овердрафта - 30% от среднемесячного объема поступлений выручки на текущие (расчётные) счета в Банке за 12 последних полных месяцев в эквиваленте валюты кредита</t>
  </si>
  <si>
    <t>Отношение кредитного портфеля к среднемесячному размеру выручки</t>
  </si>
  <si>
    <t>Задолженность (и условные обязательства по выдаче кредита) по действующим кредитным операциям на краткосрочные активы, BYN</t>
  </si>
  <si>
    <t>Доля просроченной кредиторской задолженности</t>
  </si>
  <si>
    <t>Доля просроченной дебиторской задолженности</t>
  </si>
  <si>
    <t>Отношение совокупного кредитного портфеля к среднемесячной выручке</t>
  </si>
  <si>
    <t>Задолженность (и условные обязательства по выдаче кредита) по действующим кредитным операциям, BYN</t>
  </si>
  <si>
    <t>&lt;=5</t>
  </si>
  <si>
    <t>&lt;=10%</t>
  </si>
  <si>
    <t>&lt;=20%**</t>
  </si>
  <si>
    <t>До заключения договора залога нобходимо предоставить копию решения учредителя о совершении сделки - заключении договора залога и утверждении стоимости предмета залога.</t>
  </si>
  <si>
    <t>До заключения договора залога необходимо предоставить копию протокола общего собрания участников/решения единственного участника о совершении сделки - заключении договора залога и утвердении стоимости предмета залога.</t>
  </si>
  <si>
    <t>За 12 последних полных месяцев</t>
  </si>
  <si>
    <t>период</t>
  </si>
  <si>
    <t>Период оборота краткосрочных активов</t>
  </si>
  <si>
    <t>&lt;=120</t>
  </si>
  <si>
    <t>Для Быстрого решения:</t>
  </si>
  <si>
    <t>Для Подзарядки:</t>
  </si>
  <si>
    <t>Дата заключения</t>
  </si>
  <si>
    <t>Приложение 3
к Положению о порядке  экспресс-кредитования юридических лиц и индивидуальных предпринимателей в ЗАО «Банк «Решение»</t>
  </si>
  <si>
    <t>Приложение 1
к Положению о порядке  экспресс-кредитования юридических лиц и индивидуальных предпринимателей в ЗАО «Банк «Решение»</t>
  </si>
  <si>
    <t>Приложение 2
к Положению о порядке  экспресс-кредитования юридических лиц и индивидуальных предпринимателей в ЗАО «Банк «Решение»</t>
  </si>
  <si>
    <t>&lt;=30%</t>
  </si>
  <si>
    <t>КАК РАБОТАТЬ С ЭТИМ ФАЙЛОМ: 
1. вытянуть движения по счету за месяц из опердня 
2. Экспортировать их в Эксель
3. вставить это все сюда, стоя на ячейке А1
4. в столбце с назначением платежа (S) сделать фильтр по цвету "без заливки"
5. перейти в след. вкладку</t>
  </si>
  <si>
    <t>выручка экв</t>
  </si>
  <si>
    <t>выручка номинал</t>
  </si>
  <si>
    <t>выручка эквивалент</t>
  </si>
  <si>
    <t>выручка экв.</t>
  </si>
  <si>
    <t>Важно: Предоплата в этом файле идет в расчет выручки.</t>
  </si>
  <si>
    <t>Теперь платежи со словом «кредит» будут учитываться как выручка.</t>
  </si>
  <si>
    <t>Если нужно как выручку учитывать какие-то доп.поступления:</t>
  </si>
  <si>
    <t>Если нужно из выручки удалить какие-то поступления:</t>
  </si>
  <si>
    <r>
      <t xml:space="preserve">Если вы знаете, что клиент работает с физ.лицами и продает, например, товары с рассрочкой за счет кредитов др.банков, при этом у него самого нет кредитов, которые он может получать на тек.счет, нужно:  выделить весь столбец S, на вкладке Главная нажать </t>
    </r>
    <r>
      <rPr>
        <u/>
        <sz val="11"/>
        <color theme="1"/>
        <rFont val="Calibri"/>
        <family val="2"/>
        <charset val="204"/>
        <scheme val="minor"/>
      </rPr>
      <t>Условное форматирование</t>
    </r>
    <r>
      <rPr>
        <sz val="11"/>
        <color theme="1"/>
        <rFont val="Calibri"/>
        <family val="2"/>
        <charset val="204"/>
        <scheme val="minor"/>
      </rPr>
      <t xml:space="preserve"> – управление правилами, выделить правило со словом кредит (стать на него мышкой), нажать Удалить правило – ок.</t>
    </r>
  </si>
  <si>
    <r>
      <t xml:space="preserve">Нужно:  выделить весь столбец S, на вкладке Главная нажать </t>
    </r>
    <r>
      <rPr>
        <u/>
        <sz val="11"/>
        <color theme="1"/>
        <rFont val="Calibri"/>
        <family val="2"/>
        <charset val="204"/>
        <scheme val="minor"/>
      </rPr>
      <t>Условное форматирование</t>
    </r>
    <r>
      <rPr>
        <sz val="11"/>
        <color theme="1"/>
        <rFont val="Calibri"/>
        <family val="2"/>
        <charset val="204"/>
        <scheme val="minor"/>
      </rPr>
      <t xml:space="preserve"> – правила выделения ячеек - текст содержит… - вписываем слово, по которому надо отфильтровать поступления , выбираем из списка желтую заливку с темно-желтым цветом - ок.  </t>
    </r>
  </si>
  <si>
    <t>Теперь платежи с этим словом не будут учитываться как выручка.</t>
  </si>
  <si>
    <r>
      <t xml:space="preserve">*для расчета ежемесячного взноса </t>
    </r>
    <r>
      <rPr>
        <sz val="9"/>
        <color rgb="FF000000"/>
        <rFont val="Times New Roman"/>
        <family val="1"/>
        <charset val="204"/>
      </rPr>
      <t>для НКЛ, разового кредита, ВКЛ без оборачиваемости с графиком погашения: сумму кредита разделить на количество месяцев срока действия кредитного договора, за вычетом периода выборки, прибавить проценты на сумму кредита к уплате за месяц; для ВКЛ: сумму кредита разделить на количество месяцев оборачиваемости, прибавить проценты на сумму кредита к уплате за месяц</t>
    </r>
  </si>
  <si>
    <r>
      <t xml:space="preserve">*для расчета ежемесячного взноса </t>
    </r>
    <r>
      <rPr>
        <sz val="9"/>
        <color rgb="FF000000"/>
        <rFont val="Times New Roman"/>
        <family val="1"/>
        <charset val="204"/>
      </rPr>
      <t xml:space="preserve">для НКЛ, разового кредита, ВКЛ без оборачиваемости с графиком погашения: сумму кредита разделить на количество месяцев срока действия кредитного договора, за вычетом периода выборки, прибавить проценты на сумму кредита к уплате за месяц; для ВКЛ: сумму кредита разделить на количество месяцев оборачиваемости, прибавить проценты на сумму кредита к уплате за месяц                                                                                                                                                                                                                          </t>
    </r>
  </si>
  <si>
    <t>**для вида деятельности - сдача в аренду имущества - норматив не менее 70%</t>
  </si>
  <si>
    <t>установленная форма НБ РБ</t>
  </si>
  <si>
    <t>Согласие заявителя на получение банком в Национальном банке Республики Беларусь кредитного отчета, а также сведений об организации из информационных ресурсов, находящихся в ведении Министерства внутренних дел Республики Беларусь и Национального банка Республики Беларусь</t>
  </si>
  <si>
    <t>Согласие руководителя заявителя*** на получение банком в Национальном банке Республики Беларусь кредитного отчета, а также сведений о физическом лице из информационных ресурсов, находящихся в ведении Министерства внутренних дел Республики Беларусь</t>
  </si>
  <si>
    <r>
      <t xml:space="preserve">Бухгалтерская отчетность (бухгалтерский баланс и отчет о прибылях и убытках к нему) за последний отчетный календарный год </t>
    </r>
    <r>
      <rPr>
        <i/>
        <sz val="10"/>
        <rFont val="Arial"/>
        <family val="2"/>
        <charset val="204"/>
      </rPr>
      <t xml:space="preserve">(для заявителей, обязанных в соответствии с законодательством составлять бухгалтерскую отчетность         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
</t>
    </r>
  </si>
  <si>
    <r>
      <t xml:space="preserve">Налоговые декларации по УСН (для ЮЛ, применяющих УСН ) за 1-2 последних отчетных календарных года </t>
    </r>
    <r>
      <rPr>
        <i/>
        <sz val="10"/>
        <rFont val="Arial"/>
        <family val="2"/>
        <charset val="204"/>
      </rPr>
      <t>(для заявителей,  в соответствии с законодательством освобожденных от  составления бухгалтерской отчетности)</t>
    </r>
  </si>
  <si>
    <r>
      <t xml:space="preserve">Копии учредительных документов: устав (учредительный договор), свидетельство о государственной регистрации юридического лица </t>
    </r>
    <r>
      <rPr>
        <i/>
        <sz val="10"/>
        <rFont val="Arial"/>
        <family val="2"/>
        <charset val="204"/>
      </rPr>
      <t>(для клиентов, по которым в ЗАО "Банк "Решение" отсутствует указанный документ)</t>
    </r>
  </si>
  <si>
    <r>
      <t xml:space="preserve">Решение уполномоченного органа о назначении руководителя заявителя ***, иные документы, подтверждающие полномочия лица, подписывающего кредитный договор  </t>
    </r>
    <r>
      <rPr>
        <i/>
        <sz val="10"/>
        <rFont val="Arial"/>
        <family val="2"/>
        <charset val="204"/>
      </rPr>
      <t>(надлежаще оформленная доверенность либо заверенная руководителем предприятия копия доверенности, и др.)
(для клиентов, по которым в ЗАО "Банк "Решение" отсутствует указанный документ)</t>
    </r>
  </si>
  <si>
    <t xml:space="preserve">Если руководителем является управляющий – индивидуальный предприниматель: копия договора на оказание услуг управления, заключенного между заявителем и управляющим – индивидуальным предпринимателем; копия документа о государственной регистрации (перерегистрации) индивидуального предпринимателя, выступающего в качестве управляющего. </t>
  </si>
  <si>
    <t>В случае, когда управление заявителем передано управляющей компании, в отношении уполномоченного сотрудника управляющей компании: копия договора (контракта) на оказание услуг управления, заключенного между заявителем и управляющей компанией; копия устава и (или) учредительного договора (при необходимости); копия трудового договора (контракта) с руководителем управляющей компании (либо выписка из трудового договора (контракта), содержащая сведения о сроке действия трудового договора (контракта) и полномочиях руководителя); доверенность (либо копия доверенности) уполномоченного лица на исполнение обязанностей по управлению (в случае, если функции управляющей компании исполняются не руководителем, а иным работником).</t>
  </si>
  <si>
    <r>
      <t xml:space="preserve">Копия паспорта </t>
    </r>
    <r>
      <rPr>
        <i/>
        <sz val="10"/>
        <rFont val="Arial"/>
        <family val="2"/>
        <charset val="204"/>
      </rPr>
      <t>(вида на жительство / идентификационной карты (ID-карты)) директора/ИП-управляющего (страницы с фотографией, фамилией на русском языке, отметкой о регистрации по месту жительства / сведения, отсутствующие на ID-карте)</t>
    </r>
    <r>
      <rPr>
        <sz val="10"/>
        <rFont val="Arial"/>
        <family val="2"/>
        <charset val="204"/>
      </rPr>
      <t xml:space="preserve"> (</t>
    </r>
    <r>
      <rPr>
        <i/>
        <sz val="10"/>
        <rFont val="Arial"/>
        <family val="2"/>
        <charset val="204"/>
      </rPr>
      <t>для клиентов, по которым в ЗАО "Банк "Решение" отсутствует указанный документ)</t>
    </r>
  </si>
  <si>
    <r>
      <t>Вопросник для проведения идентификации заявителя согласно приложению к ЛПА ЗАО «Банк «Решение» о мерах по предотвращению легализации доходов, полученных преступным путем, финансирования террористической деятельности и финансирования распространения оружия массового поражения</t>
    </r>
    <r>
      <rPr>
        <i/>
        <sz val="10"/>
        <color indexed="8"/>
        <rFont val="Arial"/>
        <family val="2"/>
        <charset val="204"/>
      </rPr>
      <t xml:space="preserve"> (для клиентов, не имеющих текущего (расчетного) счета в ЗАО "Банк "Решение")</t>
    </r>
  </si>
  <si>
    <t>*** под руководителем понимается: директор, управляющий, ИП-управляющий, управляющая организация</t>
  </si>
  <si>
    <t>11</t>
  </si>
  <si>
    <t xml:space="preserve">Копия паспорта (вида на жительство / идентификационной карты (ID-карты)) (страницы с фотографией, фамилией на русском языке, отметкой о регистрации по месту жительства / сведения, отсутствующие на ID-карте) 
</t>
  </si>
  <si>
    <t>12</t>
  </si>
  <si>
    <t>Согласие поручителя на получение банком в Национальном банке Республики Беларусь кредитного отчета, а также сведений о физическом лице из информационных ресурсов, находящихся в ведении Министерства внутренних дел Республики Беларусь</t>
  </si>
  <si>
    <t>Документы по обеспечению согласно ЛПА ЗАО "Банк "Решение" по залогу</t>
  </si>
  <si>
    <t xml:space="preserve">Представляемые заявителем, поручителем копии документов должны быть оформлены следующим образом:
– и/или заверены подписью заявителя / поручителя (в случае наличия – единоличным исполнительным органом заявителя). Учиняется надпись «копия верна», указывается должность, фамилия, имя, отчество (при наличии), дата, проставляется собственноручная подпись заявителя / единоличного исполнительного органа заявителя и скрепляется печатью (печатью по желаниюзаявителякопии документов могут не скрепляться);
– и/или заверены Клиентским менеджером, который принимает пакет документов. При этом Клиентский менеджер проставляет на изготовленной копии документа надпись «копия верна», указывает свою фамилию, имя, отчество (при наличии), должность, дату.
** оригиналы предоставляемых документов должны быть:
- для юридического лица - подписаны руководителем *** юридического лица (уполномоченным сотрудником предприятия) и заверены печатью юридического лица;
- для физического лица - подписаны подписью физического лица.
</t>
  </si>
  <si>
    <t>В рамках настоящего Положения согласия на получение банком в Национальном банке Республики Беларусь кредитного отчета и сведений об организации из информационных ресурсов, находящихся в ведении МВД РБ и НБ РБ предоставляются только резидентами Республики Беларусь</t>
  </si>
  <si>
    <t>Дополнительно могут быть запрошены любые другие документы, которые, по мнению банка, могут влиять на принятие решения о предоставлении кредита.</t>
  </si>
  <si>
    <t>Согласие заявителя на получение банком в Национальном банке Республики Беларусь кредитного отчета, а также сведений о физическом лице из информационных ресурсов, находящихся в ведении Министерства внутренних дел Республики Беларусь</t>
  </si>
  <si>
    <r>
      <t xml:space="preserve">Налоговые декларации по уплате подоходного налога и/или по уплате единого налога за 1-2 последних отчетных календарных года (для заявителей, в соответствии с законодательством освобожденных от составления бухгалтерской отчетности)
</t>
    </r>
    <r>
      <rPr>
        <strike/>
        <sz val="10"/>
        <color rgb="FFFF0000"/>
        <rFont val="Arial"/>
        <family val="2"/>
        <charset val="204"/>
      </rPr>
      <t/>
    </r>
  </si>
  <si>
    <r>
      <t xml:space="preserve">Cвидетельство о государственной регистрации </t>
    </r>
    <r>
      <rPr>
        <i/>
        <sz val="10"/>
        <rFont val="Arial"/>
        <family val="2"/>
        <charset val="204"/>
      </rPr>
      <t>(для клиентов, по которым в ЗАО "Банк "Решение" отсутствует указанный документ)</t>
    </r>
  </si>
  <si>
    <r>
      <t xml:space="preserve">Копия паспорта (вида на жительство / идентификационной карты (ID-карты)) (страницы с фотографией, фамилией на русском языке, отметкой о регистрации по месту жительства / сведения, отсутствующие на ID-карте) 
</t>
    </r>
    <r>
      <rPr>
        <i/>
        <sz val="10"/>
        <rFont val="Arial"/>
        <family val="2"/>
        <charset val="204"/>
      </rPr>
      <t>(для клиентов, по которым в ЗАО "Банк "Решение" отсутствует указанный документ)</t>
    </r>
  </si>
  <si>
    <r>
      <t xml:space="preserve">Вопросник для проведения идентификации согласно приложению к ЛПА ЗАО «Банк «Решение» о мерах по предотвращению легализации доходов, полученных преступным путем, финансирования террористической деятельности и финансирования распространения оружия массового поражения </t>
    </r>
    <r>
      <rPr>
        <i/>
        <sz val="10"/>
        <rFont val="Arial"/>
        <family val="2"/>
        <charset val="204"/>
      </rPr>
      <t xml:space="preserve">(для клиентов, не имеющих текущего (расчетного) счета в ЗАО "Банк "Решение") </t>
    </r>
  </si>
  <si>
    <t>*Представляемые заявителем копии документов должны быть оформлены следующим образом:
– и/или заверены подписью заявителя (в случае наличия – единоличным исполнительным органом заявителя). Учиняется надпись «копия верна», указывается должность, фамилия, имя, отчество (при наличии), дата, проставляется собственноручная подпись заявителя / единоличного исполнительного органа заявителяи скрепляется печатью (печатью по желанию заявителякопии документов могут не скрепляться);
– и/или заверены Клиентским менеджером, который принимает пакет документов. При этом Клиентский менеджер проставляет на изготовленной копии документа надпись «копия верна», указывает свою фамилию, имя, отчество (при наличии), должность, дату.
** оригиналы предоставляемых документов должны быть подписаны индивидуальным предпринимателем и заверены печатью индивидуального предпринимателя (при наличии);</t>
  </si>
  <si>
    <t>Дополнительно могут быть запрошены любые другие документы, которые, по мнению Банка, могут влиять на принятие решения о предоставлении кредита.</t>
  </si>
  <si>
    <t xml:space="preserve">Копия паспорта (вида на жительство / идентификационной карты (ID-карты)) (страницы с фотографией, фамилией на русском языке, отметка о браке, отметкой о регистрации по месту жительства / сведения, отсутствующие на ID-карте) </t>
  </si>
  <si>
    <r>
      <t>Свидетельство о государственной регистрации индивидуального предпринимателя</t>
    </r>
    <r>
      <rPr>
        <i/>
        <sz val="10"/>
        <rFont val="Arial"/>
        <family val="2"/>
        <charset val="204"/>
      </rPr>
      <t xml:space="preserve"> (для клиентов, не имеющих текущего (расчетного) счета в ЗАО "Банк "Решение")</t>
    </r>
  </si>
  <si>
    <t xml:space="preserve">Согласие залогодателя на получение банком в Национальном банке Республики Беларусь кредитного отчета, а также сведений об организации из информационных ресурсов, находящихся в ведении Министерства внутренних дел Республики Беларусь и Национального банка Республики Беларусь 
</t>
  </si>
  <si>
    <t>Согласие руководителя залогодателя на получение банком в Национальном банке Республики Беларусь кредитного отчета, а также сведений о физическом лице из информационных ресурсов, находящихся в ведении Министерства внутренних дел Республики Беларусь и Нацио</t>
  </si>
  <si>
    <r>
      <t>Свидетельство о государственной регистрации организации</t>
    </r>
    <r>
      <rPr>
        <i/>
        <sz val="10"/>
        <rFont val="Arial"/>
        <family val="2"/>
        <charset val="204"/>
      </rPr>
      <t xml:space="preserve"> (для клиентов, не имеющих текущего (расчетного) счета в ЗАО "Банк "Решение")</t>
    </r>
  </si>
  <si>
    <r>
      <t xml:space="preserve">Устав организации </t>
    </r>
    <r>
      <rPr>
        <i/>
        <sz val="10"/>
        <rFont val="Arial"/>
        <family val="2"/>
        <charset val="204"/>
      </rPr>
      <t>(для клиентов, не имеющих текущего (расчетного) счета в ЗАО "Банк "Решение")</t>
    </r>
  </si>
  <si>
    <t>Решение уполномоченного органа о назначении руководителя, иные документы, подтверждающие полномочия лица, подписывающего договор обеспечения (надлежаще оформленная доверенность либо заверенная руководителем предприятия копия доверенности, и др.).  
(для клиентов, не имеющих текущего (расчетного) счета в ЗАО "Банк "Решение")</t>
  </si>
  <si>
    <t xml:space="preserve">Если руководителем является управляющий – индивидуальный предприниматель: копия договора на оказание услуг управления, заключенного между залогодателем и управляющим – индивидуальным предпринимателем; копия документа о государственной регистрации (перерегистрации) индивидуального предпринимателя, выступающего в качестве управляющего. </t>
  </si>
  <si>
    <t>В случае, когда управление залогодателем передано управляющей компании, в отношении уполномоченного сотрудника управляющей компании: копия договора (контракта) на оказание услуг управления, заключенного между залогодателем и управляющей компанией; копия устава и (или) учредительного договора (при необходимости); копия трудового договора (контракта) с руководителем управляющей компании (либо выписка из трудового договора (контракта), содержащая сведения о сроке действия трудового договора (контракта) и полномочиях руководителя); доверенность (либо копия доверенности) уполномоченного лица на исполнение обязанностей по управлению (в случае, если функции управляющей компании исполняются не руководителем, а иным работником).</t>
  </si>
  <si>
    <t>Ежемесячный взнос по действующим кредитным операциям (с учетом испрашиваемого кредита), BYN</t>
  </si>
  <si>
    <t>Отношение кредитного портфеля на финансирование краткосрочных активов к среднемесячной выручке</t>
  </si>
  <si>
    <t>*** для видов деятельности : сдача имущества  в аренду, деятельность грузового автомобильного транспорта, такси, пассажироперевозки и прочие, аналогичные перечисленным - данный показатель не рассчитывается</t>
  </si>
  <si>
    <t xml:space="preserve">*для расчета ежемесячного взноса для НКЛ, разового кредита, ВКЛ без оборачиваемости с графиком погашения: сумму кредита разделить на количество месяцев срока действия кредитного договора, за вычетом периода выборки, прибавить проценты на сумму кредита к уплате за месяц; для ВКЛ: сумму кредита разделить на количество месяцев оборачиваемости, прибавить проценты на сумму кредита к уплате за месяц      
**для видов деятельности : сдача в аренду имущества  в аренду, деятельность грузового автомобильного транспорта, такси, пассажироперевозки и прочие, аналогичные перечисленным - данный показатель не рассчитывается                                                                                                                                                                                                                    </t>
  </si>
  <si>
    <t>Приостановление операций по текущим (расчетным) и иным банковским счетам Заявителя на дату осуществления запроса</t>
  </si>
  <si>
    <t>Специалист ОКФ</t>
  </si>
  <si>
    <t>Начальник ОКФ</t>
  </si>
  <si>
    <t>!!! В скоринг не вкл.</t>
  </si>
  <si>
    <t>Заявка юридического лица</t>
  </si>
  <si>
    <t>Задолженность (и условные обязательства по выдаче кредита) по действующим кредитным операциям на финансирование краткосрочных активов (с учетом испрашиваемого кредита), BYN</t>
  </si>
  <si>
    <t>Задолженность (и условные обязательства по выдаче кредита) по действующим кредитным операциям (с учетом испрашиваемого кредита), BYN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</si>
</sst>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"/>
    <numFmt numFmtId="166" formatCode="000000"/>
  </numFmts>
  <fonts count="1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i/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u/>
      <sz val="9.6"/>
      <color indexed="12"/>
      <name val="Arial Cyr"/>
      <charset val="204"/>
    </font>
    <font>
      <sz val="10"/>
      <name val="Arial Cyr"/>
      <charset val="204"/>
    </font>
    <font>
      <b/>
      <sz val="16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Times New Roman CYR"/>
      <charset val="204"/>
    </font>
    <font>
      <b/>
      <sz val="3"/>
      <name val="Arial"/>
      <family val="2"/>
      <charset val="204"/>
    </font>
    <font>
      <sz val="6"/>
      <name val="Arial"/>
      <family val="2"/>
      <charset val="204"/>
    </font>
    <font>
      <sz val="3"/>
      <name val="Arial"/>
      <family val="2"/>
      <charset val="204"/>
    </font>
    <font>
      <sz val="3"/>
      <name val="Times New Roman Cyr"/>
      <family val="1"/>
      <charset val="204"/>
    </font>
    <font>
      <i/>
      <sz val="8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6"/>
      <name val="Arial"/>
      <family val="2"/>
      <charset val="204"/>
    </font>
    <font>
      <sz val="6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color rgb="FF006699"/>
      <name val="&amp;quot"/>
    </font>
    <font>
      <sz val="11"/>
      <color rgb="FF000000"/>
      <name val="&amp;quot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4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trike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rgb="FF0000FF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5" fillId="0" borderId="0">
      <alignment horizontal="left"/>
    </xf>
    <xf numFmtId="0" fontId="6" fillId="0" borderId="0">
      <alignment horizontal="justify"/>
    </xf>
    <xf numFmtId="0" fontId="6" fillId="0" borderId="0">
      <alignment horizontal="right" vertical="top"/>
    </xf>
    <xf numFmtId="49" fontId="7" fillId="0" borderId="0">
      <alignment horizontal="center" vertical="top"/>
    </xf>
    <xf numFmtId="0" fontId="5" fillId="0" borderId="7">
      <alignment horizontal="center"/>
    </xf>
    <xf numFmtId="0" fontId="8" fillId="0" borderId="0">
      <alignment horizontal="left"/>
    </xf>
    <xf numFmtId="0" fontId="9" fillId="0" borderId="1">
      <alignment horizontal="center" vertical="center" wrapText="1"/>
    </xf>
    <xf numFmtId="0" fontId="5" fillId="0" borderId="1">
      <alignment horizontal="center"/>
    </xf>
    <xf numFmtId="0" fontId="5" fillId="0" borderId="0">
      <alignment horizontal="justify"/>
    </xf>
    <xf numFmtId="0" fontId="10" fillId="0" borderId="0">
      <alignment horizontal="center" vertical="top" wrapText="1"/>
    </xf>
    <xf numFmtId="0" fontId="6" fillId="0" borderId="0">
      <alignment horizontal="right" vertical="top" wrapText="1"/>
    </xf>
    <xf numFmtId="0" fontId="11" fillId="0" borderId="0" applyNumberFormat="0" applyFill="0" applyBorder="0" applyAlignment="0" applyProtection="0"/>
    <xf numFmtId="0" fontId="14" fillId="0" borderId="0"/>
    <xf numFmtId="49" fontId="5" fillId="0" borderId="1">
      <alignment horizontal="left"/>
    </xf>
    <xf numFmtId="49" fontId="5" fillId="0" borderId="1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164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3" fillId="0" borderId="0"/>
    <xf numFmtId="164" fontId="83" fillId="0" borderId="0" applyFont="0" applyFill="0" applyBorder="0" applyAlignment="0" applyProtection="0"/>
    <xf numFmtId="0" fontId="68" fillId="0" borderId="0"/>
    <xf numFmtId="9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83" fillId="0" borderId="0"/>
    <xf numFmtId="0" fontId="68" fillId="0" borderId="0"/>
    <xf numFmtId="0" fontId="89" fillId="0" borderId="0"/>
    <xf numFmtId="0" fontId="83" fillId="0" borderId="0"/>
    <xf numFmtId="0" fontId="35" fillId="0" borderId="0"/>
    <xf numFmtId="0" fontId="97" fillId="0" borderId="0" applyNumberFormat="0" applyFill="0" applyBorder="0" applyAlignment="0" applyProtection="0"/>
  </cellStyleXfs>
  <cellXfs count="1004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Border="1" applyProtection="1"/>
    <xf numFmtId="0" fontId="1" fillId="3" borderId="0" xfId="0" applyFont="1" applyFill="1" applyBorder="1" applyProtection="1"/>
    <xf numFmtId="0" fontId="15" fillId="0" borderId="0" xfId="0" applyFont="1" applyProtection="1"/>
    <xf numFmtId="0" fontId="13" fillId="0" borderId="0" xfId="0" applyFont="1" applyBorder="1" applyProtection="1"/>
    <xf numFmtId="0" fontId="0" fillId="0" borderId="0" xfId="0" applyProtection="1"/>
    <xf numFmtId="0" fontId="4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13" fillId="2" borderId="0" xfId="0" applyNumberFormat="1" applyFont="1" applyFill="1" applyBorder="1" applyAlignment="1" applyProtection="1">
      <alignment shrinkToFit="1"/>
      <protection locked="0"/>
    </xf>
    <xf numFmtId="49" fontId="13" fillId="2" borderId="0" xfId="0" applyNumberFormat="1" applyFont="1" applyFill="1" applyBorder="1" applyAlignment="1" applyProtection="1">
      <protection locked="0"/>
    </xf>
    <xf numFmtId="49" fontId="13" fillId="2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49" fontId="13" fillId="2" borderId="0" xfId="0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3" borderId="15" xfId="0" applyFill="1" applyBorder="1" applyProtection="1"/>
    <xf numFmtId="0" fontId="0" fillId="3" borderId="15" xfId="0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6" fillId="0" borderId="0" xfId="0" applyFont="1" applyBorder="1" applyProtection="1">
      <protection locked="0"/>
    </xf>
    <xf numFmtId="0" fontId="16" fillId="3" borderId="0" xfId="0" applyFont="1" applyFill="1" applyBorder="1" applyProtection="1">
      <protection locked="0"/>
    </xf>
    <xf numFmtId="0" fontId="0" fillId="3" borderId="21" xfId="0" applyFill="1" applyBorder="1" applyProtection="1"/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Border="1" applyProtection="1"/>
    <xf numFmtId="0" fontId="21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left" vertical="center" wrapText="1"/>
    </xf>
    <xf numFmtId="0" fontId="21" fillId="0" borderId="1" xfId="0" applyFont="1" applyBorder="1" applyProtection="1"/>
    <xf numFmtId="0" fontId="0" fillId="3" borderId="0" xfId="0" applyFill="1"/>
    <xf numFmtId="0" fontId="17" fillId="3" borderId="0" xfId="0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/>
    </xf>
    <xf numFmtId="0" fontId="17" fillId="3" borderId="14" xfId="0" applyFont="1" applyFill="1" applyBorder="1" applyAlignment="1" applyProtection="1">
      <alignment horizontal="right" vertical="center" wrapText="1"/>
    </xf>
    <xf numFmtId="0" fontId="17" fillId="3" borderId="12" xfId="0" applyFont="1" applyFill="1" applyBorder="1" applyAlignment="1" applyProtection="1">
      <alignment horizontal="right" vertical="center" wrapText="1"/>
    </xf>
    <xf numFmtId="0" fontId="17" fillId="3" borderId="25" xfId="0" applyFont="1" applyFill="1" applyBorder="1" applyAlignment="1" applyProtection="1">
      <alignment horizontal="right"/>
    </xf>
    <xf numFmtId="0" fontId="17" fillId="3" borderId="7" xfId="0" applyFont="1" applyFill="1" applyBorder="1" applyAlignment="1" applyProtection="1">
      <alignment horizontal="right"/>
    </xf>
    <xf numFmtId="0" fontId="17" fillId="0" borderId="17" xfId="0" applyFont="1" applyBorder="1" applyAlignment="1" applyProtection="1">
      <alignment horizontal="center" vertical="center"/>
    </xf>
    <xf numFmtId="49" fontId="17" fillId="0" borderId="17" xfId="0" applyNumberFormat="1" applyFont="1" applyBorder="1" applyAlignment="1" applyProtection="1">
      <alignment horizontal="center" vertical="center"/>
    </xf>
    <xf numFmtId="0" fontId="20" fillId="3" borderId="21" xfId="0" applyFont="1" applyFill="1" applyBorder="1" applyAlignment="1">
      <alignment horizontal="left" vertical="center" wrapText="1"/>
    </xf>
    <xf numFmtId="49" fontId="35" fillId="2" borderId="0" xfId="0" applyNumberFormat="1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/>
    <xf numFmtId="0" fontId="0" fillId="3" borderId="26" xfId="0" applyFill="1" applyBorder="1" applyProtection="1"/>
    <xf numFmtId="0" fontId="0" fillId="3" borderId="27" xfId="0" applyFill="1" applyBorder="1" applyProtection="1"/>
    <xf numFmtId="0" fontId="0" fillId="3" borderId="28" xfId="0" applyFill="1" applyBorder="1" applyProtection="1"/>
    <xf numFmtId="0" fontId="20" fillId="3" borderId="0" xfId="0" applyFont="1" applyFill="1" applyBorder="1" applyAlignment="1">
      <alignment horizontal="left" vertical="center" wrapText="1"/>
    </xf>
    <xf numFmtId="0" fontId="47" fillId="0" borderId="0" xfId="13" applyFont="1" applyFill="1" applyBorder="1" applyAlignment="1" applyProtection="1">
      <alignment vertical="center"/>
    </xf>
    <xf numFmtId="0" fontId="49" fillId="0" borderId="0" xfId="13" applyFont="1" applyFill="1" applyBorder="1" applyAlignment="1" applyProtection="1">
      <alignment horizontal="right" wrapText="1"/>
    </xf>
    <xf numFmtId="0" fontId="49" fillId="0" borderId="0" xfId="13" applyFont="1" applyBorder="1" applyAlignment="1">
      <alignment horizontal="right" wrapText="1"/>
    </xf>
    <xf numFmtId="0" fontId="5" fillId="0" borderId="0" xfId="13" applyFont="1" applyFill="1" applyBorder="1" applyProtection="1"/>
    <xf numFmtId="0" fontId="5" fillId="0" borderId="0" xfId="13" applyFont="1" applyFill="1" applyProtection="1"/>
    <xf numFmtId="0" fontId="51" fillId="0" borderId="0" xfId="13" applyFont="1" applyFill="1" applyAlignment="1" applyProtection="1"/>
    <xf numFmtId="0" fontId="47" fillId="0" borderId="0" xfId="13" applyFont="1" applyFill="1" applyBorder="1" applyProtection="1"/>
    <xf numFmtId="0" fontId="49" fillId="0" borderId="0" xfId="13" applyFont="1" applyFill="1" applyBorder="1" applyProtection="1"/>
    <xf numFmtId="0" fontId="23" fillId="0" borderId="0" xfId="13" applyFont="1" applyFill="1" applyBorder="1" applyProtection="1"/>
    <xf numFmtId="0" fontId="52" fillId="0" borderId="0" xfId="13" applyFont="1" applyFill="1" applyBorder="1" applyAlignment="1" applyProtection="1">
      <alignment vertical="center"/>
    </xf>
    <xf numFmtId="0" fontId="54" fillId="0" borderId="0" xfId="13" applyFont="1" applyFill="1" applyBorder="1" applyAlignment="1" applyProtection="1">
      <alignment vertical="center"/>
    </xf>
    <xf numFmtId="0" fontId="55" fillId="0" borderId="0" xfId="13" applyFont="1" applyFill="1" applyBorder="1" applyAlignment="1" applyProtection="1">
      <alignment vertical="center"/>
    </xf>
    <xf numFmtId="0" fontId="55" fillId="0" borderId="0" xfId="13" applyFont="1" applyFill="1" applyAlignment="1" applyProtection="1">
      <alignment vertical="center"/>
    </xf>
    <xf numFmtId="0" fontId="18" fillId="0" borderId="0" xfId="13" applyFont="1" applyFill="1" applyBorder="1" applyProtection="1"/>
    <xf numFmtId="0" fontId="18" fillId="0" borderId="2" xfId="13" applyFont="1" applyFill="1" applyBorder="1" applyProtection="1"/>
    <xf numFmtId="0" fontId="23" fillId="0" borderId="2" xfId="13" applyFont="1" applyFill="1" applyBorder="1" applyProtection="1"/>
    <xf numFmtId="0" fontId="23" fillId="0" borderId="0" xfId="13" applyFont="1" applyFill="1" applyBorder="1" applyAlignment="1" applyProtection="1">
      <alignment horizontal="center"/>
      <protection locked="0"/>
    </xf>
    <xf numFmtId="0" fontId="56" fillId="0" borderId="0" xfId="13" applyFont="1" applyFill="1" applyBorder="1" applyAlignment="1" applyProtection="1">
      <alignment horizontal="center" vertical="top"/>
      <protection locked="0"/>
    </xf>
    <xf numFmtId="0" fontId="58" fillId="0" borderId="7" xfId="13" applyFont="1" applyFill="1" applyBorder="1" applyAlignment="1" applyProtection="1">
      <alignment vertical="top"/>
    </xf>
    <xf numFmtId="0" fontId="53" fillId="0" borderId="7" xfId="13" applyFont="1" applyFill="1" applyBorder="1" applyAlignment="1" applyProtection="1">
      <alignment vertical="top"/>
    </xf>
    <xf numFmtId="0" fontId="53" fillId="0" borderId="0" xfId="13" applyFont="1" applyFill="1" applyBorder="1" applyAlignment="1" applyProtection="1">
      <alignment vertical="top"/>
    </xf>
    <xf numFmtId="0" fontId="59" fillId="0" borderId="0" xfId="13" applyFont="1" applyFill="1" applyBorder="1" applyAlignment="1" applyProtection="1">
      <alignment vertical="top"/>
    </xf>
    <xf numFmtId="0" fontId="59" fillId="0" borderId="0" xfId="13" applyFont="1" applyFill="1" applyAlignment="1" applyProtection="1">
      <alignment vertical="top"/>
    </xf>
    <xf numFmtId="0" fontId="23" fillId="0" borderId="2" xfId="13" applyFont="1" applyFill="1" applyBorder="1" applyAlignment="1" applyProtection="1"/>
    <xf numFmtId="0" fontId="49" fillId="0" borderId="2" xfId="13" applyFont="1" applyFill="1" applyBorder="1" applyAlignment="1" applyProtection="1"/>
    <xf numFmtId="0" fontId="49" fillId="0" borderId="2" xfId="13" applyFont="1" applyFill="1" applyBorder="1" applyAlignment="1" applyProtection="1">
      <alignment vertical="center"/>
    </xf>
    <xf numFmtId="0" fontId="18" fillId="0" borderId="0" xfId="13" applyFont="1" applyFill="1" applyBorder="1" applyAlignment="1" applyProtection="1">
      <alignment vertical="center"/>
    </xf>
    <xf numFmtId="0" fontId="18" fillId="0" borderId="0" xfId="13" applyFont="1" applyFill="1" applyBorder="1" applyAlignment="1" applyProtection="1">
      <alignment vertical="justify"/>
    </xf>
    <xf numFmtId="0" fontId="23" fillId="0" borderId="0" xfId="13" applyFont="1" applyFill="1" applyBorder="1" applyAlignment="1" applyProtection="1">
      <alignment vertical="justify"/>
    </xf>
    <xf numFmtId="0" fontId="53" fillId="0" borderId="0" xfId="13" applyFont="1" applyFill="1" applyBorder="1" applyAlignment="1" applyProtection="1">
      <alignment vertical="justify"/>
    </xf>
    <xf numFmtId="0" fontId="59" fillId="0" borderId="0" xfId="13" applyFont="1" applyFill="1" applyBorder="1" applyAlignment="1" applyProtection="1">
      <alignment vertical="justify"/>
    </xf>
    <xf numFmtId="0" fontId="23" fillId="0" borderId="0" xfId="13" applyFont="1" applyFill="1" applyBorder="1" applyAlignment="1" applyProtection="1">
      <alignment vertical="center"/>
    </xf>
    <xf numFmtId="0" fontId="49" fillId="0" borderId="0" xfId="13" applyFont="1" applyFill="1" applyBorder="1" applyAlignment="1" applyProtection="1">
      <alignment vertical="center"/>
    </xf>
    <xf numFmtId="0" fontId="23" fillId="0" borderId="0" xfId="13" applyFont="1" applyFill="1" applyBorder="1" applyAlignment="1" applyProtection="1">
      <alignment horizontal="center" vertical="justify"/>
    </xf>
    <xf numFmtId="0" fontId="5" fillId="0" borderId="0" xfId="13" applyFont="1" applyFill="1" applyBorder="1" applyAlignment="1" applyProtection="1">
      <alignment vertical="justify"/>
    </xf>
    <xf numFmtId="0" fontId="47" fillId="0" borderId="5" xfId="13" applyFont="1" applyFill="1" applyBorder="1" applyAlignment="1" applyProtection="1">
      <alignment vertical="center"/>
    </xf>
    <xf numFmtId="0" fontId="59" fillId="0" borderId="0" xfId="13" applyFont="1" applyFill="1" applyBorder="1" applyProtection="1"/>
    <xf numFmtId="0" fontId="6" fillId="0" borderId="0" xfId="13" applyFont="1" applyFill="1" applyBorder="1" applyProtection="1"/>
    <xf numFmtId="0" fontId="49" fillId="0" borderId="0" xfId="13" applyFont="1" applyFill="1" applyBorder="1" applyAlignment="1" applyProtection="1">
      <alignment horizontal="left"/>
    </xf>
    <xf numFmtId="0" fontId="47" fillId="0" borderId="0" xfId="13" applyFont="1" applyFill="1" applyBorder="1" applyAlignment="1" applyProtection="1">
      <alignment horizontal="center" vertical="center"/>
      <protection locked="0"/>
    </xf>
    <xf numFmtId="0" fontId="47" fillId="4" borderId="0" xfId="13" applyFont="1" applyFill="1" applyProtection="1"/>
    <xf numFmtId="0" fontId="23" fillId="4" borderId="0" xfId="13" applyFont="1" applyFill="1" applyProtection="1"/>
    <xf numFmtId="0" fontId="23" fillId="4" borderId="7" xfId="13" applyFont="1" applyFill="1" applyBorder="1" applyProtection="1"/>
    <xf numFmtId="0" fontId="23" fillId="4" borderId="0" xfId="13" applyFont="1" applyFill="1" applyBorder="1" applyProtection="1"/>
    <xf numFmtId="0" fontId="14" fillId="0" borderId="0" xfId="13" applyFill="1" applyBorder="1" applyAlignment="1" applyProtection="1"/>
    <xf numFmtId="0" fontId="59" fillId="0" borderId="0" xfId="13" applyFont="1" applyFill="1" applyProtection="1"/>
    <xf numFmtId="0" fontId="18" fillId="4" borderId="8" xfId="13" applyFont="1" applyFill="1" applyBorder="1" applyProtection="1"/>
    <xf numFmtId="0" fontId="49" fillId="4" borderId="9" xfId="13" applyFont="1" applyFill="1" applyBorder="1" applyAlignment="1" applyProtection="1">
      <alignment vertical="center"/>
    </xf>
    <xf numFmtId="0" fontId="23" fillId="4" borderId="9" xfId="13" applyFont="1" applyFill="1" applyBorder="1" applyProtection="1"/>
    <xf numFmtId="0" fontId="23" fillId="4" borderId="9" xfId="13" applyFont="1" applyFill="1" applyBorder="1" applyAlignment="1" applyProtection="1">
      <alignment vertical="center"/>
    </xf>
    <xf numFmtId="0" fontId="23" fillId="4" borderId="3" xfId="13" applyFont="1" applyFill="1" applyBorder="1" applyProtection="1"/>
    <xf numFmtId="0" fontId="49" fillId="4" borderId="0" xfId="13" applyFont="1" applyFill="1" applyProtection="1"/>
    <xf numFmtId="0" fontId="14" fillId="0" borderId="0" xfId="13" applyProtection="1"/>
    <xf numFmtId="0" fontId="18" fillId="4" borderId="4" xfId="13" applyFont="1" applyFill="1" applyBorder="1" applyProtection="1"/>
    <xf numFmtId="0" fontId="23" fillId="4" borderId="2" xfId="13" applyFont="1" applyFill="1" applyBorder="1" applyProtection="1"/>
    <xf numFmtId="0" fontId="23" fillId="4" borderId="10" xfId="13" applyFont="1" applyFill="1" applyBorder="1" applyProtection="1"/>
    <xf numFmtId="0" fontId="23" fillId="4" borderId="5" xfId="13" applyFont="1" applyFill="1" applyBorder="1" applyProtection="1"/>
    <xf numFmtId="0" fontId="23" fillId="4" borderId="0" xfId="13" applyFont="1" applyFill="1" applyBorder="1" applyAlignment="1" applyProtection="1">
      <alignment horizontal="right"/>
    </xf>
    <xf numFmtId="0" fontId="23" fillId="4" borderId="0" xfId="13" applyFont="1" applyFill="1" applyBorder="1" applyAlignment="1" applyProtection="1">
      <alignment horizontal="center" vertical="center"/>
    </xf>
    <xf numFmtId="0" fontId="49" fillId="4" borderId="29" xfId="13" applyFont="1" applyFill="1" applyBorder="1" applyAlignment="1" applyProtection="1">
      <alignment horizontal="center" vertical="center"/>
    </xf>
    <xf numFmtId="0" fontId="49" fillId="4" borderId="0" xfId="13" applyFont="1" applyFill="1" applyBorder="1" applyAlignment="1" applyProtection="1">
      <alignment horizontal="center" vertical="center"/>
    </xf>
    <xf numFmtId="0" fontId="23" fillId="4" borderId="0" xfId="13" applyFont="1" applyFill="1" applyBorder="1" applyAlignment="1" applyProtection="1">
      <alignment horizontal="left" vertical="center"/>
      <protection locked="0"/>
    </xf>
    <xf numFmtId="0" fontId="23" fillId="4" borderId="6" xfId="13" applyFont="1" applyFill="1" applyBorder="1" applyProtection="1"/>
    <xf numFmtId="0" fontId="23" fillId="4" borderId="7" xfId="13" applyFont="1" applyFill="1" applyBorder="1" applyAlignment="1" applyProtection="1">
      <alignment horizontal="right"/>
    </xf>
    <xf numFmtId="0" fontId="23" fillId="4" borderId="9" xfId="13" applyFont="1" applyFill="1" applyBorder="1" applyAlignment="1" applyProtection="1">
      <alignment horizontal="center" vertical="center"/>
    </xf>
    <xf numFmtId="0" fontId="23" fillId="4" borderId="7" xfId="13" applyFont="1" applyFill="1" applyBorder="1" applyAlignment="1" applyProtection="1">
      <alignment horizontal="center" vertical="center"/>
    </xf>
    <xf numFmtId="0" fontId="49" fillId="4" borderId="11" xfId="13" applyFont="1" applyFill="1" applyBorder="1" applyAlignment="1" applyProtection="1">
      <alignment horizontal="center" vertical="center"/>
    </xf>
    <xf numFmtId="0" fontId="49" fillId="4" borderId="0" xfId="13" applyFont="1" applyFill="1" applyBorder="1" applyProtection="1"/>
    <xf numFmtId="0" fontId="53" fillId="4" borderId="0" xfId="13" applyFont="1" applyFill="1" applyBorder="1" applyProtection="1"/>
    <xf numFmtId="0" fontId="49" fillId="4" borderId="0" xfId="13" applyFont="1" applyFill="1" applyBorder="1" applyAlignment="1" applyProtection="1">
      <alignment horizontal="right"/>
    </xf>
    <xf numFmtId="0" fontId="18" fillId="4" borderId="0" xfId="13" applyFont="1" applyFill="1" applyProtection="1"/>
    <xf numFmtId="0" fontId="58" fillId="0" borderId="0" xfId="13" applyFont="1" applyFill="1" applyProtection="1"/>
    <xf numFmtId="0" fontId="53" fillId="0" borderId="0" xfId="13" applyFont="1" applyFill="1" applyProtection="1"/>
    <xf numFmtId="0" fontId="53" fillId="0" borderId="0" xfId="13" applyFont="1" applyFill="1" applyBorder="1" applyAlignment="1" applyProtection="1"/>
    <xf numFmtId="0" fontId="49" fillId="0" borderId="0" xfId="13" applyFont="1" applyFill="1" applyBorder="1" applyAlignment="1" applyProtection="1"/>
    <xf numFmtId="0" fontId="53" fillId="0" borderId="0" xfId="13" applyFont="1" applyFill="1" applyBorder="1" applyProtection="1"/>
    <xf numFmtId="0" fontId="61" fillId="0" borderId="0" xfId="13" applyFont="1" applyFill="1" applyBorder="1" applyProtection="1"/>
    <xf numFmtId="0" fontId="62" fillId="0" borderId="0" xfId="13" applyFont="1" applyFill="1" applyBorder="1" applyProtection="1"/>
    <xf numFmtId="0" fontId="62" fillId="0" borderId="0" xfId="13" applyFont="1" applyFill="1" applyProtection="1"/>
    <xf numFmtId="0" fontId="66" fillId="0" borderId="0" xfId="0" applyFont="1" applyAlignment="1">
      <alignment horizontal="justify" vertical="center"/>
    </xf>
    <xf numFmtId="0" fontId="0" fillId="8" borderId="0" xfId="0" applyFill="1"/>
    <xf numFmtId="0" fontId="69" fillId="8" borderId="0" xfId="0" applyFont="1" applyFill="1"/>
    <xf numFmtId="0" fontId="0" fillId="0" borderId="1" xfId="0" applyBorder="1" applyProtection="1">
      <protection locked="0"/>
    </xf>
    <xf numFmtId="14" fontId="66" fillId="0" borderId="0" xfId="0" applyNumberFormat="1" applyFont="1" applyFill="1" applyAlignment="1" applyProtection="1">
      <alignment vertical="center"/>
      <protection locked="0"/>
    </xf>
    <xf numFmtId="14" fontId="0" fillId="0" borderId="0" xfId="0" applyNumberFormat="1" applyFont="1" applyFill="1" applyBorder="1" applyAlignment="1" applyProtection="1"/>
    <xf numFmtId="0" fontId="0" fillId="0" borderId="0" xfId="0" applyFill="1"/>
    <xf numFmtId="0" fontId="70" fillId="0" borderId="0" xfId="0" applyFont="1" applyAlignment="1">
      <alignment horizontal="left" vertical="center" indent="1"/>
    </xf>
    <xf numFmtId="0" fontId="71" fillId="0" borderId="0" xfId="0" applyFont="1" applyAlignment="1">
      <alignment horizontal="left" vertical="center" indent="1"/>
    </xf>
    <xf numFmtId="164" fontId="36" fillId="0" borderId="0" xfId="18" applyFont="1" applyFill="1"/>
    <xf numFmtId="2" fontId="13" fillId="2" borderId="0" xfId="0" applyNumberFormat="1" applyFont="1" applyFill="1" applyBorder="1" applyAlignment="1" applyProtection="1">
      <protection locked="0"/>
    </xf>
    <xf numFmtId="1" fontId="13" fillId="0" borderId="0" xfId="0" applyNumberFormat="1" applyFont="1" applyFill="1" applyBorder="1" applyAlignment="1" applyProtection="1">
      <alignment vertical="center" wrapText="1"/>
      <protection locked="0"/>
    </xf>
    <xf numFmtId="1" fontId="13" fillId="0" borderId="0" xfId="0" applyNumberFormat="1" applyFont="1" applyBorder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66" fillId="0" borderId="0" xfId="0" applyFont="1" applyBorder="1" applyAlignment="1" applyProtection="1">
      <alignment vertical="center"/>
      <protection locked="0"/>
    </xf>
    <xf numFmtId="0" fontId="30" fillId="3" borderId="12" xfId="0" applyFont="1" applyFill="1" applyBorder="1" applyAlignment="1" applyProtection="1">
      <alignment vertical="center" wrapText="1"/>
    </xf>
    <xf numFmtId="0" fontId="31" fillId="0" borderId="7" xfId="0" applyFont="1" applyBorder="1" applyAlignment="1"/>
    <xf numFmtId="0" fontId="30" fillId="3" borderId="7" xfId="0" applyFont="1" applyFill="1" applyBorder="1" applyAlignment="1" applyProtection="1">
      <alignment vertical="center" wrapText="1"/>
    </xf>
    <xf numFmtId="0" fontId="7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49" fontId="12" fillId="2" borderId="0" xfId="0" applyNumberFormat="1" applyFont="1" applyFill="1" applyBorder="1" applyAlignment="1" applyProtection="1">
      <alignment vertical="center" wrapText="1"/>
      <protection locked="0"/>
    </xf>
    <xf numFmtId="0" fontId="73" fillId="3" borderId="0" xfId="0" applyFont="1" applyFill="1" applyBorder="1" applyProtection="1">
      <protection locked="0"/>
    </xf>
    <xf numFmtId="0" fontId="73" fillId="0" borderId="0" xfId="0" applyFont="1" applyBorder="1" applyAlignment="1" applyProtection="1">
      <alignment vertical="center" wrapText="1"/>
      <protection locked="0"/>
    </xf>
    <xf numFmtId="0" fontId="73" fillId="0" borderId="0" xfId="0" applyFont="1" applyAlignment="1">
      <alignment wrapText="1"/>
    </xf>
    <xf numFmtId="0" fontId="73" fillId="0" borderId="0" xfId="0" applyFont="1" applyFill="1" applyBorder="1" applyAlignment="1" applyProtection="1">
      <alignment vertical="center" wrapText="1"/>
      <protection locked="0"/>
    </xf>
    <xf numFmtId="0" fontId="73" fillId="0" borderId="0" xfId="0" applyFont="1"/>
    <xf numFmtId="0" fontId="74" fillId="0" borderId="0" xfId="0" applyFont="1" applyAlignment="1"/>
    <xf numFmtId="0" fontId="73" fillId="0" borderId="0" xfId="0" applyFont="1" applyFill="1"/>
    <xf numFmtId="49" fontId="73" fillId="0" borderId="0" xfId="0" applyNumberFormat="1" applyFont="1" applyFill="1" applyBorder="1" applyAlignment="1" applyProtection="1">
      <alignment vertical="center" wrapText="1"/>
      <protection locked="0"/>
    </xf>
    <xf numFmtId="0" fontId="0" fillId="10" borderId="0" xfId="0" applyFill="1"/>
    <xf numFmtId="0" fontId="0" fillId="0" borderId="15" xfId="0" applyBorder="1" applyAlignment="1">
      <alignment horizontal="center" vertical="top"/>
    </xf>
    <xf numFmtId="4" fontId="0" fillId="3" borderId="0" xfId="0" applyNumberFormat="1" applyFill="1" applyBorder="1" applyAlignment="1">
      <alignment horizontal="right" vertical="center" wrapText="1"/>
    </xf>
    <xf numFmtId="0" fontId="78" fillId="0" borderId="0" xfId="0" applyFont="1"/>
    <xf numFmtId="0" fontId="34" fillId="8" borderId="0" xfId="0" applyFont="1" applyFill="1" applyBorder="1" applyAlignment="1" applyProtection="1">
      <alignment vertical="center" wrapText="1"/>
      <protection locked="0"/>
    </xf>
    <xf numFmtId="0" fontId="75" fillId="0" borderId="0" xfId="0" applyFont="1" applyFill="1" applyAlignment="1">
      <alignment wrapText="1"/>
    </xf>
    <xf numFmtId="0" fontId="79" fillId="11" borderId="0" xfId="0" applyFont="1" applyFill="1" applyAlignment="1">
      <alignment wrapText="1"/>
    </xf>
    <xf numFmtId="165" fontId="17" fillId="3" borderId="0" xfId="0" applyNumberFormat="1" applyFont="1" applyFill="1" applyBorder="1" applyAlignment="1">
      <alignment horizontal="right" vertical="center" wrapText="1"/>
    </xf>
    <xf numFmtId="165" fontId="17" fillId="3" borderId="21" xfId="0" applyNumberFormat="1" applyFont="1" applyFill="1" applyBorder="1" applyAlignment="1">
      <alignment horizontal="right" vertical="center" wrapText="1"/>
    </xf>
    <xf numFmtId="49" fontId="17" fillId="0" borderId="18" xfId="0" applyNumberFormat="1" applyFont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0" fontId="0" fillId="12" borderId="0" xfId="0" applyFill="1"/>
    <xf numFmtId="0" fontId="17" fillId="0" borderId="17" xfId="0" applyFont="1" applyBorder="1" applyAlignment="1">
      <alignment horizontal="center" vertical="top"/>
    </xf>
    <xf numFmtId="0" fontId="35" fillId="0" borderId="0" xfId="0" applyFont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vertical="center"/>
    </xf>
    <xf numFmtId="49" fontId="17" fillId="6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</xf>
    <xf numFmtId="0" fontId="0" fillId="3" borderId="0" xfId="0" applyFill="1" applyBorder="1" applyAlignment="1">
      <alignment vertical="center" wrapText="1"/>
    </xf>
    <xf numFmtId="0" fontId="17" fillId="0" borderId="7" xfId="0" applyFont="1" applyBorder="1" applyAlignment="1" applyProtection="1">
      <alignment vertical="center"/>
    </xf>
    <xf numFmtId="0" fontId="17" fillId="0" borderId="20" xfId="0" applyFont="1" applyBorder="1" applyAlignment="1">
      <alignment horizontal="center" vertical="top"/>
    </xf>
    <xf numFmtId="0" fontId="17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7" fillId="3" borderId="15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vertical="center" wrapText="1"/>
    </xf>
    <xf numFmtId="0" fontId="37" fillId="3" borderId="0" xfId="0" applyFont="1" applyFill="1" applyBorder="1" applyProtection="1">
      <protection locked="0"/>
    </xf>
    <xf numFmtId="49" fontId="17" fillId="0" borderId="20" xfId="0" applyNumberFormat="1" applyFont="1" applyBorder="1" applyAlignment="1" applyProtection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vertical="center" wrapText="1"/>
    </xf>
    <xf numFmtId="0" fontId="0" fillId="6" borderId="30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7" fillId="6" borderId="36" xfId="0" applyFont="1" applyFill="1" applyBorder="1" applyAlignment="1">
      <alignment horizontal="left" vertical="center" wrapText="1"/>
    </xf>
    <xf numFmtId="0" fontId="43" fillId="0" borderId="0" xfId="0" applyFont="1" applyFill="1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14" fontId="0" fillId="0" borderId="0" xfId="0" applyNumberFormat="1" applyProtection="1">
      <protection hidden="1"/>
    </xf>
    <xf numFmtId="0" fontId="37" fillId="0" borderId="0" xfId="0" applyFont="1" applyAlignment="1" applyProtection="1">
      <alignment vertical="top" wrapText="1"/>
      <protection hidden="1"/>
    </xf>
    <xf numFmtId="0" fontId="0" fillId="3" borderId="0" xfId="0" applyFill="1" applyBorder="1" applyAlignment="1" applyProtection="1">
      <alignment horizontal="right"/>
      <protection hidden="1"/>
    </xf>
    <xf numFmtId="14" fontId="38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3" borderId="37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ont="1" applyFill="1" applyBorder="1" applyAlignment="1" applyProtection="1">
      <alignment horizontal="left" vertical="center"/>
      <protection hidden="1"/>
    </xf>
    <xf numFmtId="0" fontId="65" fillId="0" borderId="0" xfId="0" applyFont="1" applyBorder="1" applyProtection="1">
      <protection hidden="1"/>
    </xf>
    <xf numFmtId="1" fontId="0" fillId="3" borderId="8" xfId="0" quotePrefix="1" applyNumberFormat="1" applyFont="1" applyFill="1" applyBorder="1" applyAlignment="1" applyProtection="1">
      <alignment horizontal="left" vertical="center"/>
      <protection hidden="1"/>
    </xf>
    <xf numFmtId="14" fontId="37" fillId="0" borderId="0" xfId="0" applyNumberFormat="1" applyFont="1" applyAlignment="1" applyProtection="1">
      <alignment vertical="top" wrapText="1"/>
      <protection hidden="1"/>
    </xf>
    <xf numFmtId="0" fontId="0" fillId="3" borderId="8" xfId="0" quotePrefix="1" applyNumberFormat="1" applyFont="1" applyFill="1" applyBorder="1" applyAlignment="1" applyProtection="1">
      <alignment horizontal="left" vertical="center"/>
      <protection hidden="1"/>
    </xf>
    <xf numFmtId="0" fontId="65" fillId="8" borderId="0" xfId="0" applyFont="1" applyFill="1" applyProtection="1">
      <protection hidden="1"/>
    </xf>
    <xf numFmtId="0" fontId="43" fillId="3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wrapText="1"/>
      <protection hidden="1"/>
    </xf>
    <xf numFmtId="4" fontId="0" fillId="0" borderId="0" xfId="0" applyNumberFormat="1" applyFill="1" applyBorder="1" applyProtection="1"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9" fontId="0" fillId="0" borderId="1" xfId="19" applyFont="1" applyBorder="1" applyAlignment="1" applyProtection="1">
      <alignment horizontal="center" vertical="center"/>
      <protection hidden="1"/>
    </xf>
    <xf numFmtId="0" fontId="44" fillId="0" borderId="0" xfId="0" applyFont="1" applyProtection="1">
      <protection hidden="1"/>
    </xf>
    <xf numFmtId="0" fontId="80" fillId="3" borderId="0" xfId="0" applyFont="1" applyFill="1" applyBorder="1" applyAlignment="1" applyProtection="1">
      <alignment horizontal="left" wrapText="1"/>
      <protection hidden="1"/>
    </xf>
    <xf numFmtId="2" fontId="78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18" applyFont="1" applyBorder="1" applyProtection="1">
      <protection hidden="1"/>
    </xf>
    <xf numFmtId="14" fontId="0" fillId="0" borderId="0" xfId="0" applyNumberFormat="1" applyBorder="1" applyProtection="1">
      <protection hidden="1"/>
    </xf>
    <xf numFmtId="0" fontId="65" fillId="0" borderId="0" xfId="0" applyFont="1" applyProtection="1">
      <protection hidden="1"/>
    </xf>
    <xf numFmtId="0" fontId="7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vertical="center" wrapText="1"/>
      <protection hidden="1"/>
    </xf>
    <xf numFmtId="164" fontId="36" fillId="0" borderId="1" xfId="18" applyFont="1" applyBorder="1" applyAlignment="1" applyProtection="1">
      <alignment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49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2" fontId="0" fillId="0" borderId="0" xfId="0" applyNumberFormat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Protection="1">
      <protection locked="0" hidden="1"/>
    </xf>
    <xf numFmtId="14" fontId="42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 applyBorder="1" applyAlignment="1" applyProtection="1">
      <alignment horizontal="right"/>
      <protection locked="0" hidden="1"/>
    </xf>
    <xf numFmtId="0" fontId="39" fillId="0" borderId="0" xfId="0" applyFont="1" applyBorder="1" applyAlignment="1" applyProtection="1">
      <alignment horizontal="left"/>
      <protection locked="0" hidden="1"/>
    </xf>
    <xf numFmtId="0" fontId="0" fillId="3" borderId="0" xfId="0" applyFill="1" applyBorder="1" applyAlignment="1" applyProtection="1">
      <protection locked="0" hidden="1"/>
    </xf>
    <xf numFmtId="14" fontId="38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64" fillId="9" borderId="9" xfId="0" applyFont="1" applyFill="1" applyBorder="1" applyAlignment="1" applyProtection="1">
      <alignment horizontal="left" vertical="center" wrapText="1"/>
      <protection locked="0"/>
    </xf>
    <xf numFmtId="0" fontId="64" fillId="9" borderId="3" xfId="0" applyFont="1" applyFill="1" applyBorder="1" applyAlignment="1" applyProtection="1">
      <alignment horizontal="left" vertical="center" wrapText="1"/>
      <protection locked="0"/>
    </xf>
    <xf numFmtId="0" fontId="64" fillId="9" borderId="8" xfId="0" applyFont="1" applyFill="1" applyBorder="1" applyAlignment="1" applyProtection="1">
      <alignment vertical="center" wrapText="1"/>
      <protection locked="0"/>
    </xf>
    <xf numFmtId="0" fontId="64" fillId="9" borderId="9" xfId="0" applyFont="1" applyFill="1" applyBorder="1" applyAlignment="1" applyProtection="1">
      <alignment vertical="center" wrapText="1"/>
      <protection locked="0"/>
    </xf>
    <xf numFmtId="0" fontId="64" fillId="9" borderId="3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64" fillId="0" borderId="0" xfId="0" applyFont="1" applyFill="1" applyBorder="1" applyAlignment="1" applyProtection="1">
      <alignment vertical="center" wrapText="1"/>
      <protection locked="0"/>
    </xf>
    <xf numFmtId="0" fontId="64" fillId="0" borderId="0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66" fillId="0" borderId="0" xfId="0" applyFont="1" applyFill="1" applyBorder="1" applyAlignment="1" applyProtection="1">
      <alignment wrapText="1"/>
      <protection locked="0"/>
    </xf>
    <xf numFmtId="0" fontId="64" fillId="0" borderId="7" xfId="0" applyFont="1" applyFill="1" applyBorder="1" applyAlignment="1" applyProtection="1">
      <alignment vertical="center" wrapText="1"/>
      <protection locked="0"/>
    </xf>
    <xf numFmtId="0" fontId="68" fillId="0" borderId="0" xfId="22" applyProtection="1">
      <protection locked="0"/>
    </xf>
    <xf numFmtId="49" fontId="64" fillId="9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22" applyFont="1"/>
    <xf numFmtId="0" fontId="68" fillId="0" borderId="0" xfId="22" applyFont="1"/>
    <xf numFmtId="0" fontId="12" fillId="0" borderId="0" xfId="22" applyFont="1" applyAlignment="1">
      <alignment horizontal="center"/>
    </xf>
    <xf numFmtId="0" fontId="83" fillId="0" borderId="0" xfId="20"/>
    <xf numFmtId="0" fontId="36" fillId="0" borderId="0" xfId="20" applyFont="1" applyFill="1" applyBorder="1" applyAlignment="1">
      <alignment vertical="center" wrapText="1"/>
    </xf>
    <xf numFmtId="0" fontId="68" fillId="0" borderId="0" xfId="20" applyFont="1" applyFill="1" applyBorder="1" applyAlignment="1">
      <alignment vertical="center" wrapText="1"/>
    </xf>
    <xf numFmtId="0" fontId="53" fillId="0" borderId="0" xfId="13" applyFont="1" applyFill="1" applyBorder="1" applyAlignment="1" applyProtection="1">
      <alignment horizontal="center"/>
    </xf>
    <xf numFmtId="0" fontId="53" fillId="0" borderId="0" xfId="13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81" fillId="0" borderId="0" xfId="0" applyFont="1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15" fillId="0" borderId="1" xfId="0" applyFont="1" applyBorder="1" applyProtection="1"/>
    <xf numFmtId="0" fontId="23" fillId="3" borderId="1" xfId="12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justify" vertical="center" wrapText="1"/>
    </xf>
    <xf numFmtId="0" fontId="83" fillId="0" borderId="0" xfId="27" applyAlignment="1"/>
    <xf numFmtId="0" fontId="83" fillId="0" borderId="0" xfId="27"/>
    <xf numFmtId="0" fontId="83" fillId="13" borderId="0" xfId="27" applyFill="1" applyBorder="1"/>
    <xf numFmtId="0" fontId="68" fillId="0" borderId="0" xfId="28"/>
    <xf numFmtId="0" fontId="17" fillId="0" borderId="1" xfId="29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28" applyFont="1" applyBorder="1" applyAlignment="1">
      <alignment vertical="center"/>
    </xf>
    <xf numFmtId="0" fontId="21" fillId="3" borderId="1" xfId="0" quotePrefix="1" applyFont="1" applyFill="1" applyBorder="1" applyAlignment="1" applyProtection="1">
      <alignment horizontal="justify" vertical="center" wrapText="1"/>
    </xf>
    <xf numFmtId="0" fontId="17" fillId="0" borderId="1" xfId="28" quotePrefix="1" applyFont="1" applyBorder="1" applyAlignment="1">
      <alignment vertical="center" wrapText="1"/>
    </xf>
    <xf numFmtId="0" fontId="36" fillId="0" borderId="0" xfId="28" applyFont="1"/>
    <xf numFmtId="0" fontId="0" fillId="0" borderId="0" xfId="0" applyAlignment="1" applyProtection="1">
      <alignment horizontal="right"/>
      <protection locked="0"/>
    </xf>
    <xf numFmtId="0" fontId="18" fillId="0" borderId="0" xfId="13" applyFont="1" applyFill="1" applyBorder="1" applyAlignment="1" applyProtection="1"/>
    <xf numFmtId="0" fontId="58" fillId="0" borderId="0" xfId="13" applyFont="1" applyFill="1" applyBorder="1" applyAlignment="1" applyProtection="1">
      <alignment vertical="top"/>
    </xf>
    <xf numFmtId="0" fontId="18" fillId="4" borderId="5" xfId="13" applyFont="1" applyFill="1" applyBorder="1" applyProtection="1"/>
    <xf numFmtId="0" fontId="23" fillId="4" borderId="29" xfId="13" applyFont="1" applyFill="1" applyBorder="1" applyProtection="1"/>
    <xf numFmtId="0" fontId="91" fillId="0" borderId="0" xfId="13" applyFont="1" applyFill="1" applyBorder="1" applyAlignment="1" applyProtection="1">
      <alignment horizontal="center"/>
    </xf>
    <xf numFmtId="0" fontId="41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92" fillId="0" borderId="0" xfId="0" applyFont="1" applyBorder="1" applyAlignment="1" applyProtection="1">
      <alignment horizontal="center"/>
      <protection hidden="1"/>
    </xf>
    <xf numFmtId="0" fontId="92" fillId="0" borderId="7" xfId="0" applyFont="1" applyBorder="1" applyAlignment="1" applyProtection="1">
      <alignment horizontal="center"/>
      <protection hidden="1"/>
    </xf>
    <xf numFmtId="0" fontId="94" fillId="15" borderId="1" xfId="0" applyFont="1" applyFill="1" applyBorder="1" applyAlignment="1" applyProtection="1">
      <alignment horizontal="center" vertical="center" wrapText="1"/>
      <protection hidden="1"/>
    </xf>
    <xf numFmtId="0" fontId="4" fillId="15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3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7" xfId="0" applyFont="1" applyBorder="1" applyProtection="1">
      <protection locked="0"/>
    </xf>
    <xf numFmtId="0" fontId="4" fillId="0" borderId="0" xfId="0" applyFont="1" applyProtection="1">
      <protection hidden="1"/>
    </xf>
    <xf numFmtId="0" fontId="0" fillId="0" borderId="7" xfId="0" applyBorder="1" applyProtection="1">
      <protection locked="0"/>
    </xf>
    <xf numFmtId="0" fontId="0" fillId="0" borderId="7" xfId="0" applyBorder="1" applyProtection="1"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7" xfId="0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84" fillId="0" borderId="0" xfId="0" applyFont="1" applyProtection="1">
      <protection hidden="1"/>
    </xf>
    <xf numFmtId="164" fontId="0" fillId="0" borderId="0" xfId="18" applyFont="1" applyProtection="1">
      <protection hidden="1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justify" vertical="center"/>
      <protection hidden="1"/>
    </xf>
    <xf numFmtId="14" fontId="12" fillId="0" borderId="0" xfId="0" applyNumberFormat="1" applyFont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" fontId="12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" fontId="12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Protection="1">
      <protection locked="0"/>
    </xf>
    <xf numFmtId="0" fontId="4" fillId="0" borderId="0" xfId="0" applyFont="1" applyAlignment="1" applyProtection="1">
      <alignment horizontal="justify" vertical="top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94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95" fillId="0" borderId="1" xfId="0" applyFont="1" applyBorder="1" applyAlignment="1" applyProtection="1">
      <alignment horizontal="center" vertical="center" wrapText="1"/>
      <protection hidden="1"/>
    </xf>
    <xf numFmtId="0" fontId="96" fillId="0" borderId="1" xfId="0" applyFont="1" applyBorder="1" applyAlignment="1" applyProtection="1">
      <alignment horizontal="center" vertical="center" wrapText="1"/>
      <protection locked="0"/>
    </xf>
    <xf numFmtId="0" fontId="96" fillId="0" borderId="1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justify" vertical="center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95" fillId="0" borderId="1" xfId="18" applyFont="1" applyBorder="1" applyAlignment="1" applyProtection="1">
      <alignment horizontal="center" vertical="center" wrapText="1"/>
      <protection hidden="1"/>
    </xf>
    <xf numFmtId="1" fontId="95" fillId="0" borderId="0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Alignment="1" applyProtection="1">
      <alignment horizontal="justify" vertical="center"/>
      <protection hidden="1"/>
    </xf>
    <xf numFmtId="164" fontId="95" fillId="0" borderId="36" xfId="18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68" fillId="0" borderId="1" xfId="20" applyFont="1" applyFill="1" applyBorder="1" applyAlignment="1">
      <alignment horizontal="center" vertical="center" wrapText="1"/>
    </xf>
    <xf numFmtId="9" fontId="68" fillId="0" borderId="1" xfId="19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wrapText="1"/>
      <protection hidden="1"/>
    </xf>
    <xf numFmtId="9" fontId="36" fillId="0" borderId="0" xfId="19" applyFont="1" applyBorder="1" applyAlignment="1" applyProtection="1">
      <alignment horizontal="center" vertical="top" wrapText="1"/>
      <protection hidden="1"/>
    </xf>
    <xf numFmtId="0" fontId="36" fillId="0" borderId="2" xfId="0" applyFont="1" applyBorder="1" applyAlignment="1" applyProtection="1">
      <alignment horizontal="center" vertical="top" wrapText="1"/>
      <protection hidden="1"/>
    </xf>
    <xf numFmtId="0" fontId="36" fillId="0" borderId="1" xfId="0" applyFont="1" applyBorder="1" applyAlignment="1" applyProtection="1">
      <alignment vertical="center" wrapText="1"/>
      <protection hidden="1"/>
    </xf>
    <xf numFmtId="0" fontId="36" fillId="0" borderId="1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protection hidden="1"/>
    </xf>
    <xf numFmtId="4" fontId="0" fillId="0" borderId="1" xfId="0" applyNumberFormat="1" applyBorder="1" applyAlignment="1" applyProtection="1">
      <alignment wrapText="1"/>
      <protection locked="0" hidden="1"/>
    </xf>
    <xf numFmtId="4" fontId="0" fillId="0" borderId="8" xfId="0" applyNumberFormat="1" applyBorder="1" applyAlignment="1" applyProtection="1">
      <alignment wrapText="1"/>
      <protection locked="0" hidden="1"/>
    </xf>
    <xf numFmtId="0" fontId="0" fillId="0" borderId="1" xfId="0" applyFill="1" applyBorder="1" applyAlignment="1" applyProtection="1">
      <alignment horizontal="center"/>
      <protection locked="0" hidden="1"/>
    </xf>
    <xf numFmtId="4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Protection="1">
      <protection locked="0" hidden="1"/>
    </xf>
    <xf numFmtId="164" fontId="36" fillId="0" borderId="1" xfId="18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wrapText="1"/>
      <protection locked="0" hidden="1"/>
    </xf>
    <xf numFmtId="0" fontId="64" fillId="9" borderId="9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 applyBorder="1" applyAlignment="1" applyProtection="1">
      <alignment horizontal="left" wrapText="1"/>
      <protection locked="0"/>
    </xf>
    <xf numFmtId="0" fontId="4" fillId="0" borderId="0" xfId="22" applyFont="1" applyAlignment="1" applyProtection="1">
      <alignment horizontal="center" wrapText="1"/>
      <protection locked="0"/>
    </xf>
    <xf numFmtId="0" fontId="4" fillId="0" borderId="0" xfId="22" applyFont="1" applyAlignment="1" applyProtection="1">
      <alignment horizontal="center" vertical="center" wrapText="1"/>
      <protection locked="0"/>
    </xf>
    <xf numFmtId="0" fontId="64" fillId="9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4" fillId="0" borderId="0" xfId="22" applyFont="1" applyAlignment="1" applyProtection="1">
      <alignment vertical="center" wrapText="1"/>
      <protection locked="0"/>
    </xf>
    <xf numFmtId="0" fontId="4" fillId="0" borderId="7" xfId="22" applyFont="1" applyBorder="1" applyAlignment="1" applyProtection="1">
      <alignment vertical="center" wrapText="1"/>
      <protection locked="0"/>
    </xf>
    <xf numFmtId="0" fontId="4" fillId="0" borderId="9" xfId="22" applyFont="1" applyBorder="1" applyAlignment="1" applyProtection="1">
      <alignment vertical="center" wrapText="1"/>
      <protection locked="0"/>
    </xf>
    <xf numFmtId="0" fontId="4" fillId="0" borderId="0" xfId="22" applyFont="1" applyBorder="1" applyAlignment="1" applyProtection="1">
      <alignment vertical="center" wrapText="1"/>
      <protection locked="0"/>
    </xf>
    <xf numFmtId="0" fontId="68" fillId="0" borderId="7" xfId="22" applyBorder="1" applyProtection="1">
      <protection locked="0"/>
    </xf>
    <xf numFmtId="0" fontId="68" fillId="0" borderId="9" xfId="22" applyBorder="1" applyProtection="1">
      <protection locked="0"/>
    </xf>
    <xf numFmtId="0" fontId="12" fillId="0" borderId="0" xfId="22" applyFont="1" applyAlignment="1" applyProtection="1">
      <alignment horizontal="center" wrapText="1"/>
      <protection locked="0"/>
    </xf>
    <xf numFmtId="0" fontId="4" fillId="0" borderId="0" xfId="22" applyFont="1" applyBorder="1" applyAlignment="1" applyProtection="1">
      <alignment horizontal="center" wrapText="1"/>
      <protection locked="0"/>
    </xf>
    <xf numFmtId="0" fontId="64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36" fillId="3" borderId="30" xfId="0" applyFont="1" applyFill="1" applyBorder="1" applyAlignment="1" applyProtection="1">
      <alignment horizontal="center" wrapText="1"/>
      <protection hidden="1"/>
    </xf>
    <xf numFmtId="9" fontId="0" fillId="3" borderId="1" xfId="0" applyNumberFormat="1" applyFill="1" applyBorder="1" applyAlignment="1" applyProtection="1">
      <alignment horizontal="center" vertical="center"/>
      <protection hidden="1"/>
    </xf>
    <xf numFmtId="164" fontId="68" fillId="0" borderId="1" xfId="2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80" fillId="3" borderId="0" xfId="0" applyFont="1" applyFill="1" applyBorder="1" applyAlignment="1" applyProtection="1">
      <alignment horizontal="left" wrapText="1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top" wrapText="1"/>
      <protection hidden="1"/>
    </xf>
    <xf numFmtId="49" fontId="0" fillId="8" borderId="0" xfId="0" applyNumberFormat="1" applyFill="1" applyBorder="1" applyAlignment="1" applyProtection="1">
      <alignment horizontal="center"/>
      <protection hidden="1"/>
    </xf>
    <xf numFmtId="0" fontId="36" fillId="7" borderId="8" xfId="0" applyFont="1" applyFill="1" applyBorder="1" applyAlignment="1" applyProtection="1">
      <alignment horizontal="center" vertical="center"/>
      <protection hidden="1"/>
    </xf>
    <xf numFmtId="2" fontId="0" fillId="0" borderId="1" xfId="19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" fontId="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0" xfId="0" applyFont="1" applyFill="1" applyProtection="1">
      <protection hidden="1"/>
    </xf>
    <xf numFmtId="14" fontId="39" fillId="0" borderId="0" xfId="0" applyNumberFormat="1" applyFont="1" applyBorder="1" applyAlignment="1" applyProtection="1">
      <alignment horizontal="left"/>
      <protection locked="0" hidden="1"/>
    </xf>
    <xf numFmtId="0" fontId="0" fillId="3" borderId="0" xfId="0" applyFill="1" applyAlignment="1" applyProtection="1">
      <alignment horizontal="right"/>
      <protection locked="0" hidden="1"/>
    </xf>
    <xf numFmtId="0" fontId="0" fillId="0" borderId="0" xfId="0" applyAlignment="1" applyProtection="1">
      <alignment wrapText="1"/>
      <protection locked="0"/>
    </xf>
    <xf numFmtId="0" fontId="37" fillId="0" borderId="0" xfId="0" applyFont="1"/>
    <xf numFmtId="0" fontId="37" fillId="0" borderId="0" xfId="0" applyFont="1" applyFill="1"/>
    <xf numFmtId="0" fontId="82" fillId="0" borderId="0" xfId="0" applyFont="1" applyAlignment="1">
      <alignment wrapText="1"/>
    </xf>
    <xf numFmtId="164" fontId="82" fillId="0" borderId="0" xfId="18" applyFont="1" applyFill="1"/>
    <xf numFmtId="164" fontId="82" fillId="0" borderId="0" xfId="18" applyFont="1" applyFill="1" applyAlignment="1">
      <alignment wrapText="1"/>
    </xf>
    <xf numFmtId="164" fontId="0" fillId="0" borderId="0" xfId="0" applyNumberFormat="1"/>
    <xf numFmtId="0" fontId="0" fillId="0" borderId="0" xfId="0" applyAlignment="1"/>
    <xf numFmtId="0" fontId="36" fillId="0" borderId="0" xfId="0" applyFont="1" applyAlignment="1">
      <alignment horizontal="left"/>
    </xf>
    <xf numFmtId="0" fontId="53" fillId="0" borderId="0" xfId="13" applyFont="1" applyFill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 vertical="center" wrapText="1"/>
      <protection locked="0" hidden="1"/>
    </xf>
    <xf numFmtId="4" fontId="0" fillId="0" borderId="8" xfId="0" applyNumberForma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vertical="center"/>
    </xf>
    <xf numFmtId="0" fontId="36" fillId="0" borderId="0" xfId="0" applyFont="1"/>
    <xf numFmtId="0" fontId="29" fillId="0" borderId="1" xfId="0" applyFont="1" applyBorder="1" applyAlignment="1">
      <alignment horizontal="center" vertical="center"/>
    </xf>
    <xf numFmtId="0" fontId="102" fillId="0" borderId="1" xfId="12" applyFont="1" applyBorder="1" applyAlignment="1" applyProtection="1">
      <alignment vertical="center"/>
    </xf>
    <xf numFmtId="0" fontId="17" fillId="0" borderId="1" xfId="0" applyFont="1" applyBorder="1" applyAlignment="1">
      <alignment horizontal="justify" vertical="center" wrapText="1"/>
    </xf>
    <xf numFmtId="0" fontId="85" fillId="3" borderId="0" xfId="0" applyFont="1" applyFill="1"/>
    <xf numFmtId="0" fontId="23" fillId="3" borderId="1" xfId="12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23" fillId="3" borderId="1" xfId="12" applyFont="1" applyFill="1" applyBorder="1" applyAlignment="1" applyProtection="1">
      <alignment horizontal="justify" vertical="top" wrapText="1"/>
    </xf>
    <xf numFmtId="0" fontId="23" fillId="3" borderId="1" xfId="0" applyFont="1" applyFill="1" applyBorder="1" applyAlignment="1">
      <alignment horizontal="justify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32" fillId="3" borderId="1" xfId="0" applyFont="1" applyFill="1" applyBorder="1" applyAlignment="1">
      <alignment horizontal="justify"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86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3" fillId="0" borderId="0" xfId="12" applyFont="1" applyAlignment="1" applyProtection="1">
      <alignment vertical="center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 applyProtection="1">
      <alignment vertical="center"/>
      <protection locked="0"/>
    </xf>
    <xf numFmtId="49" fontId="18" fillId="0" borderId="30" xfId="0" applyNumberFormat="1" applyFont="1" applyBorder="1" applyAlignment="1">
      <alignment horizontal="center" vertical="center"/>
    </xf>
    <xf numFmtId="0" fontId="23" fillId="3" borderId="30" xfId="0" applyFont="1" applyFill="1" applyBorder="1" applyAlignment="1">
      <alignment horizontal="left" vertical="top" wrapText="1"/>
    </xf>
    <xf numFmtId="0" fontId="23" fillId="3" borderId="30" xfId="0" applyFont="1" applyFill="1" applyBorder="1" applyAlignment="1">
      <alignment horizontal="left" vertical="center" wrapText="1"/>
    </xf>
    <xf numFmtId="0" fontId="23" fillId="0" borderId="30" xfId="0" applyFont="1" applyBorder="1" applyAlignment="1" applyProtection="1">
      <alignment vertical="center"/>
      <protection locked="0"/>
    </xf>
    <xf numFmtId="49" fontId="18" fillId="0" borderId="1" xfId="0" applyNumberFormat="1" applyFont="1" applyBorder="1" applyAlignment="1">
      <alignment horizontal="center" vertical="center"/>
    </xf>
    <xf numFmtId="0" fontId="23" fillId="3" borderId="1" xfId="12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86" fillId="0" borderId="0" xfId="0" applyFont="1" applyAlignment="1">
      <alignment horizontal="center" vertical="center"/>
    </xf>
    <xf numFmtId="0" fontId="104" fillId="0" borderId="0" xfId="12" applyFont="1" applyFill="1" applyBorder="1" applyAlignment="1" applyProtection="1">
      <alignment horizontal="left" vertical="center"/>
    </xf>
    <xf numFmtId="0" fontId="13" fillId="0" borderId="0" xfId="0" applyFont="1"/>
    <xf numFmtId="0" fontId="13" fillId="0" borderId="0" xfId="0" quotePrefix="1" applyFont="1" applyAlignment="1">
      <alignment vertical="top" wrapText="1"/>
    </xf>
    <xf numFmtId="0" fontId="15" fillId="0" borderId="0" xfId="0" applyFont="1"/>
    <xf numFmtId="0" fontId="103" fillId="3" borderId="1" xfId="12" applyFont="1" applyFill="1" applyBorder="1" applyAlignment="1" applyProtection="1">
      <alignment vertical="center"/>
    </xf>
    <xf numFmtId="0" fontId="23" fillId="3" borderId="1" xfId="0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03" fillId="3" borderId="0" xfId="12" applyFont="1" applyFill="1" applyAlignment="1" applyProtection="1">
      <alignment vertical="center"/>
    </xf>
    <xf numFmtId="0" fontId="23" fillId="3" borderId="1" xfId="0" applyFont="1" applyFill="1" applyBorder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0" fontId="104" fillId="0" borderId="0" xfId="12" applyFont="1" applyFill="1" applyBorder="1" applyAlignment="1" applyProtection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103" fillId="3" borderId="1" xfId="12" applyFont="1" applyFill="1" applyBorder="1" applyAlignment="1" applyProtection="1">
      <alignment horizontal="justify" vertical="center" wrapText="1"/>
    </xf>
    <xf numFmtId="0" fontId="102" fillId="3" borderId="1" xfId="12" applyFont="1" applyFill="1" applyBorder="1" applyAlignment="1" applyProtection="1">
      <alignment horizontal="justify" vertical="center" wrapText="1"/>
    </xf>
    <xf numFmtId="2" fontId="78" fillId="0" borderId="1" xfId="0" applyNumberFormat="1" applyFont="1" applyFill="1" applyBorder="1" applyAlignment="1" applyProtection="1">
      <alignment horizontal="center" vertical="center"/>
      <protection hidden="1"/>
    </xf>
    <xf numFmtId="0" fontId="81" fillId="0" borderId="0" xfId="0" applyFont="1" applyProtection="1">
      <protection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0" fontId="108" fillId="0" borderId="0" xfId="0" applyFont="1" applyProtection="1">
      <protection hidden="1"/>
    </xf>
    <xf numFmtId="0" fontId="0" fillId="3" borderId="1" xfId="0" quotePrefix="1" applyNumberFormat="1" applyFont="1" applyFill="1" applyBorder="1" applyAlignment="1" applyProtection="1">
      <alignment vertical="center"/>
      <protection locked="0" hidden="1"/>
    </xf>
    <xf numFmtId="0" fontId="36" fillId="8" borderId="4" xfId="0" applyFont="1" applyFill="1" applyBorder="1" applyAlignment="1">
      <alignment horizontal="left" vertical="top" wrapText="1"/>
    </xf>
    <xf numFmtId="0" fontId="36" fillId="8" borderId="2" xfId="0" applyFont="1" applyFill="1" applyBorder="1" applyAlignment="1">
      <alignment horizontal="left" vertical="top" wrapText="1"/>
    </xf>
    <xf numFmtId="0" fontId="36" fillId="8" borderId="10" xfId="0" applyFont="1" applyFill="1" applyBorder="1" applyAlignment="1">
      <alignment horizontal="left" vertical="top" wrapText="1"/>
    </xf>
    <xf numFmtId="0" fontId="36" fillId="8" borderId="5" xfId="0" applyFont="1" applyFill="1" applyBorder="1" applyAlignment="1">
      <alignment horizontal="left" vertical="top" wrapText="1"/>
    </xf>
    <xf numFmtId="0" fontId="36" fillId="8" borderId="0" xfId="0" applyFont="1" applyFill="1" applyBorder="1" applyAlignment="1">
      <alignment horizontal="left" vertical="top" wrapText="1"/>
    </xf>
    <xf numFmtId="0" fontId="36" fillId="8" borderId="29" xfId="0" applyFont="1" applyFill="1" applyBorder="1" applyAlignment="1">
      <alignment horizontal="left" vertical="top" wrapText="1"/>
    </xf>
    <xf numFmtId="0" fontId="36" fillId="8" borderId="6" xfId="0" applyFont="1" applyFill="1" applyBorder="1" applyAlignment="1">
      <alignment horizontal="left" vertical="top" wrapText="1"/>
    </xf>
    <xf numFmtId="0" fontId="36" fillId="8" borderId="7" xfId="0" applyFont="1" applyFill="1" applyBorder="1" applyAlignment="1">
      <alignment horizontal="left" vertical="top" wrapText="1"/>
    </xf>
    <xf numFmtId="0" fontId="36" fillId="8" borderId="1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6" fillId="8" borderId="1" xfId="0" applyFont="1" applyFill="1" applyBorder="1" applyAlignment="1">
      <alignment horizontal="left" vertical="top" wrapText="1"/>
    </xf>
    <xf numFmtId="49" fontId="32" fillId="0" borderId="9" xfId="0" applyNumberFormat="1" applyFont="1" applyBorder="1" applyAlignment="1">
      <alignment horizontal="left" vertical="center"/>
    </xf>
    <xf numFmtId="0" fontId="0" fillId="0" borderId="0" xfId="0" applyAlignment="1" applyProtection="1">
      <alignment horizontal="left" wrapText="1"/>
      <protection locked="0"/>
    </xf>
    <xf numFmtId="0" fontId="27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27" fillId="0" borderId="7" xfId="0" applyFont="1" applyBorder="1" applyAlignment="1" applyProtection="1">
      <alignment horizontal="center" vertical="top"/>
    </xf>
    <xf numFmtId="0" fontId="28" fillId="0" borderId="7" xfId="0" applyFont="1" applyBorder="1" applyAlignment="1" applyProtection="1">
      <alignment horizontal="center" vertical="top"/>
    </xf>
    <xf numFmtId="0" fontId="86" fillId="0" borderId="8" xfId="0" applyFont="1" applyBorder="1" applyAlignment="1">
      <alignment horizontal="center" vertical="center"/>
    </xf>
    <xf numFmtId="0" fontId="86" fillId="0" borderId="9" xfId="0" applyFont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78" fillId="5" borderId="1" xfId="0" applyFont="1" applyFill="1" applyBorder="1"/>
    <xf numFmtId="0" fontId="104" fillId="5" borderId="1" xfId="12" applyFont="1" applyFill="1" applyBorder="1" applyAlignment="1" applyProtection="1">
      <alignment horizontal="left" vertical="center"/>
    </xf>
    <xf numFmtId="0" fontId="32" fillId="0" borderId="0" xfId="0" quotePrefix="1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32" fillId="0" borderId="2" xfId="0" quotePrefix="1" applyFont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center"/>
    </xf>
    <xf numFmtId="1" fontId="78" fillId="0" borderId="1" xfId="0" applyNumberFormat="1" applyFont="1" applyFill="1" applyBorder="1" applyAlignment="1" applyProtection="1">
      <alignment horizontal="center" vertical="center"/>
      <protection hidden="1"/>
    </xf>
    <xf numFmtId="0" fontId="78" fillId="0" borderId="1" xfId="0" applyFont="1" applyFill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left" vertical="center"/>
      <protection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wrapText="1"/>
      <protection locked="0" hidden="1"/>
    </xf>
    <xf numFmtId="164" fontId="36" fillId="0" borderId="1" xfId="18" applyFont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hidden="1"/>
    </xf>
    <xf numFmtId="0" fontId="63" fillId="0" borderId="0" xfId="0" applyFont="1" applyAlignment="1">
      <alignment horizontal="left" vertical="top" wrapText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78" fillId="3" borderId="1" xfId="0" applyFont="1" applyFill="1" applyBorder="1" applyAlignment="1" applyProtection="1">
      <alignment horizontal="center" vertical="center" wrapText="1"/>
      <protection hidden="1"/>
    </xf>
    <xf numFmtId="0" fontId="0" fillId="7" borderId="8" xfId="0" applyFill="1" applyBorder="1" applyAlignment="1" applyProtection="1">
      <alignment vertical="center" wrapText="1"/>
      <protection hidden="1"/>
    </xf>
    <xf numFmtId="0" fontId="0" fillId="7" borderId="9" xfId="0" applyFill="1" applyBorder="1" applyAlignment="1" applyProtection="1">
      <alignment vertical="center" wrapText="1"/>
      <protection hidden="1"/>
    </xf>
    <xf numFmtId="0" fontId="0" fillId="7" borderId="3" xfId="0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quotePrefix="1" applyFont="1" applyBorder="1" applyAlignment="1" applyProtection="1">
      <alignment horizontal="center" vertical="center" wrapText="1"/>
      <protection locked="0" hidden="1"/>
    </xf>
    <xf numFmtId="0" fontId="40" fillId="7" borderId="1" xfId="0" applyFont="1" applyFill="1" applyBorder="1" applyAlignment="1" applyProtection="1">
      <alignment horizontal="left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wrapText="1"/>
      <protection hidden="1"/>
    </xf>
    <xf numFmtId="0" fontId="0" fillId="0" borderId="9" xfId="0" applyFont="1" applyBorder="1" applyAlignment="1" applyProtection="1">
      <alignment horizontal="center" vertical="center" wrapText="1"/>
      <protection hidden="1"/>
    </xf>
    <xf numFmtId="0" fontId="36" fillId="0" borderId="30" xfId="0" applyFont="1" applyBorder="1" applyAlignment="1" applyProtection="1">
      <alignment horizontal="center" vertical="center" wrapText="1"/>
      <protection hidden="1"/>
    </xf>
    <xf numFmtId="0" fontId="36" fillId="0" borderId="4" xfId="0" applyFont="1" applyBorder="1" applyAlignment="1" applyProtection="1">
      <alignment horizontal="center" vertical="center" wrapText="1"/>
      <protection hidden="1"/>
    </xf>
    <xf numFmtId="0" fontId="36" fillId="0" borderId="2" xfId="0" applyFont="1" applyBorder="1" applyAlignment="1" applyProtection="1">
      <alignment horizontal="center" vertical="center" wrapText="1"/>
      <protection hidden="1"/>
    </xf>
    <xf numFmtId="0" fontId="36" fillId="0" borderId="10" xfId="0" applyFont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wrapText="1"/>
      <protection hidden="1"/>
    </xf>
    <xf numFmtId="0" fontId="0" fillId="0" borderId="3" xfId="0" applyFill="1" applyBorder="1" applyAlignment="1" applyProtection="1">
      <alignment horizontal="center" wrapText="1"/>
      <protection hidden="1"/>
    </xf>
    <xf numFmtId="0" fontId="36" fillId="7" borderId="8" xfId="0" applyFont="1" applyFill="1" applyBorder="1" applyAlignment="1" applyProtection="1">
      <alignment horizontal="center" vertical="center"/>
      <protection hidden="1"/>
    </xf>
    <xf numFmtId="0" fontId="36" fillId="7" borderId="3" xfId="0" applyFont="1" applyFill="1" applyBorder="1" applyAlignment="1" applyProtection="1">
      <alignment horizontal="center" vertical="center"/>
      <protection hidden="1"/>
    </xf>
    <xf numFmtId="17" fontId="0" fillId="0" borderId="8" xfId="0" applyNumberFormat="1" applyBorder="1" applyAlignment="1" applyProtection="1">
      <alignment wrapText="1"/>
      <protection hidden="1"/>
    </xf>
    <xf numFmtId="0" fontId="0" fillId="0" borderId="3" xfId="0" applyNumberForma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4" fontId="36" fillId="3" borderId="1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top" wrapText="1"/>
      <protection hidden="1"/>
    </xf>
    <xf numFmtId="0" fontId="0" fillId="7" borderId="8" xfId="0" applyFill="1" applyBorder="1" applyAlignment="1" applyProtection="1">
      <alignment wrapText="1"/>
      <protection hidden="1"/>
    </xf>
    <xf numFmtId="0" fontId="0" fillId="7" borderId="9" xfId="0" applyFill="1" applyBorder="1" applyAlignment="1" applyProtection="1">
      <alignment wrapText="1"/>
      <protection hidden="1"/>
    </xf>
    <xf numFmtId="0" fontId="0" fillId="7" borderId="3" xfId="0" applyFill="1" applyBorder="1" applyAlignment="1" applyProtection="1">
      <alignment wrapText="1"/>
      <protection hidden="1"/>
    </xf>
    <xf numFmtId="4" fontId="0" fillId="0" borderId="8" xfId="0" applyNumberFormat="1" applyBorder="1" applyAlignment="1" applyProtection="1">
      <alignment horizontal="center" vertical="center" wrapText="1"/>
      <protection hidden="1"/>
    </xf>
    <xf numFmtId="4" fontId="0" fillId="0" borderId="9" xfId="0" applyNumberFormat="1" applyBorder="1" applyAlignment="1" applyProtection="1">
      <alignment horizontal="center" vertical="center" wrapText="1"/>
      <protection hidden="1"/>
    </xf>
    <xf numFmtId="4" fontId="0" fillId="0" borderId="3" xfId="0" applyNumberFormat="1" applyBorder="1" applyAlignment="1" applyProtection="1">
      <alignment horizontal="center" vertical="center" wrapText="1"/>
      <protection hidden="1"/>
    </xf>
    <xf numFmtId="0" fontId="0" fillId="0" borderId="5" xfId="0" applyNumberFormat="1" applyBorder="1" applyAlignment="1" applyProtection="1">
      <alignment horizontal="left" vertical="center"/>
      <protection hidden="1"/>
    </xf>
    <xf numFmtId="0" fontId="0" fillId="0" borderId="0" xfId="0" applyNumberFormat="1" applyAlignment="1" applyProtection="1">
      <alignment horizontal="left" vertical="center"/>
      <protection hidden="1"/>
    </xf>
    <xf numFmtId="4" fontId="0" fillId="0" borderId="1" xfId="0" applyNumberFormat="1" applyFill="1" applyBorder="1" applyAlignment="1" applyProtection="1">
      <alignment wrapText="1"/>
      <protection hidden="1"/>
    </xf>
    <xf numFmtId="0" fontId="40" fillId="7" borderId="1" xfId="0" applyFont="1" applyFill="1" applyBorder="1" applyAlignment="1" applyProtection="1">
      <alignment vertical="center" wrapText="1"/>
      <protection hidden="1"/>
    </xf>
    <xf numFmtId="0" fontId="0" fillId="7" borderId="8" xfId="0" applyFill="1" applyBorder="1" applyAlignment="1" applyProtection="1">
      <alignment horizontal="left" wrapText="1"/>
      <protection hidden="1"/>
    </xf>
    <xf numFmtId="0" fontId="0" fillId="7" borderId="9" xfId="0" applyFill="1" applyBorder="1" applyAlignment="1" applyProtection="1">
      <alignment horizontal="left" wrapText="1"/>
      <protection hidden="1"/>
    </xf>
    <xf numFmtId="0" fontId="36" fillId="3" borderId="6" xfId="0" applyFont="1" applyFill="1" applyBorder="1" applyAlignment="1" applyProtection="1">
      <alignment horizontal="left" wrapText="1"/>
      <protection hidden="1"/>
    </xf>
    <xf numFmtId="0" fontId="36" fillId="3" borderId="7" xfId="0" applyFont="1" applyFill="1" applyBorder="1" applyAlignment="1" applyProtection="1">
      <alignment horizontal="left" wrapText="1"/>
      <protection hidden="1"/>
    </xf>
    <xf numFmtId="0" fontId="40" fillId="0" borderId="7" xfId="0" applyFont="1" applyBorder="1" applyAlignment="1" applyProtection="1">
      <alignment vertical="center" wrapText="1"/>
      <protection hidden="1"/>
    </xf>
    <xf numFmtId="0" fontId="0" fillId="7" borderId="6" xfId="0" applyFill="1" applyBorder="1" applyAlignment="1" applyProtection="1">
      <alignment horizontal="left" wrapText="1"/>
      <protection hidden="1"/>
    </xf>
    <xf numFmtId="0" fontId="0" fillId="7" borderId="7" xfId="0" applyFill="1" applyBorder="1" applyAlignment="1" applyProtection="1">
      <alignment horizontal="left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3" xfId="0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4" fontId="36" fillId="3" borderId="8" xfId="0" applyNumberFormat="1" applyFont="1" applyFill="1" applyBorder="1" applyAlignment="1" applyProtection="1">
      <alignment horizontal="center" vertical="center"/>
      <protection hidden="1"/>
    </xf>
    <xf numFmtId="4" fontId="36" fillId="3" borderId="3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Alignment="1">
      <alignment horizontal="left" vertical="top" wrapText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4" fontId="36" fillId="0" borderId="8" xfId="0" applyNumberFormat="1" applyFont="1" applyFill="1" applyBorder="1" applyAlignment="1" applyProtection="1">
      <alignment horizontal="center" vertical="center"/>
      <protection hidden="1"/>
    </xf>
    <xf numFmtId="4" fontId="36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/>
      <protection locked="0" hidden="1"/>
    </xf>
    <xf numFmtId="0" fontId="0" fillId="0" borderId="2" xfId="0" applyBorder="1" applyAlignment="1" applyProtection="1">
      <alignment wrapText="1"/>
      <protection hidden="1"/>
    </xf>
    <xf numFmtId="0" fontId="41" fillId="0" borderId="1" xfId="0" applyFont="1" applyFill="1" applyBorder="1" applyAlignment="1" applyProtection="1">
      <alignment horizontal="center" vertical="center" wrapText="1"/>
      <protection hidden="1"/>
    </xf>
    <xf numFmtId="0" fontId="44" fillId="0" borderId="7" xfId="0" applyFont="1" applyBorder="1" applyAlignment="1" applyProtection="1">
      <alignment vertical="center" wrapText="1"/>
      <protection hidden="1"/>
    </xf>
    <xf numFmtId="0" fontId="41" fillId="7" borderId="8" xfId="0" applyFont="1" applyFill="1" applyBorder="1" applyAlignment="1" applyProtection="1">
      <alignment horizontal="center" vertical="center" wrapText="1"/>
      <protection hidden="1"/>
    </xf>
    <xf numFmtId="0" fontId="41" fillId="7" borderId="9" xfId="0" applyFont="1" applyFill="1" applyBorder="1" applyAlignment="1" applyProtection="1">
      <alignment horizontal="center" vertical="center" wrapText="1"/>
      <protection hidden="1"/>
    </xf>
    <xf numFmtId="0" fontId="41" fillId="7" borderId="3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1" fontId="0" fillId="0" borderId="5" xfId="0" applyNumberFormat="1" applyBorder="1" applyAlignment="1" applyProtection="1">
      <alignment horizontal="left" vertical="center"/>
      <protection hidden="1"/>
    </xf>
    <xf numFmtId="1" fontId="0" fillId="0" borderId="0" xfId="0" applyNumberFormat="1" applyBorder="1" applyAlignment="1" applyProtection="1">
      <alignment horizontal="left" vertical="center"/>
      <protection hidden="1"/>
    </xf>
    <xf numFmtId="0" fontId="36" fillId="0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4" fontId="0" fillId="0" borderId="1" xfId="0" applyNumberFormat="1" applyFill="1" applyBorder="1" applyAlignment="1" applyProtection="1">
      <alignment horizontal="center" vertical="center" wrapText="1"/>
      <protection hidden="1"/>
    </xf>
    <xf numFmtId="0" fontId="109" fillId="3" borderId="0" xfId="0" applyFont="1" applyFill="1" applyAlignment="1" applyProtection="1">
      <alignment horizontal="left" wrapText="1"/>
      <protection locked="0" hidden="1"/>
    </xf>
    <xf numFmtId="0" fontId="78" fillId="0" borderId="0" xfId="0" applyFont="1" applyAlignment="1">
      <alignment horizontal="left" wrapText="1"/>
    </xf>
    <xf numFmtId="0" fontId="107" fillId="3" borderId="0" xfId="0" applyFont="1" applyFill="1" applyAlignment="1" applyProtection="1">
      <alignment horizontal="center" wrapText="1"/>
      <protection locked="0" hidden="1"/>
    </xf>
    <xf numFmtId="0" fontId="0" fillId="7" borderId="1" xfId="0" applyFill="1" applyBorder="1" applyAlignment="1" applyProtection="1">
      <alignment vertical="center" wrapText="1"/>
      <protection hidden="1"/>
    </xf>
    <xf numFmtId="49" fontId="0" fillId="0" borderId="1" xfId="0" applyNumberFormat="1" applyBorder="1" applyAlignment="1" applyProtection="1">
      <alignment horizontal="left" vertical="center" wrapText="1"/>
      <protection hidden="1"/>
    </xf>
    <xf numFmtId="0" fontId="0" fillId="0" borderId="1" xfId="0" applyNumberFormat="1" applyBorder="1" applyAlignment="1" applyProtection="1">
      <alignment horizontal="left" vertical="center" wrapText="1"/>
      <protection hidden="1"/>
    </xf>
    <xf numFmtId="0" fontId="0" fillId="3" borderId="8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0" fillId="3" borderId="3" xfId="0" applyFont="1" applyFill="1" applyBorder="1" applyAlignment="1" applyProtection="1">
      <alignment vertical="center"/>
      <protection hidden="1"/>
    </xf>
    <xf numFmtId="1" fontId="0" fillId="3" borderId="8" xfId="0" applyNumberFormat="1" applyFont="1" applyFill="1" applyBorder="1" applyAlignment="1" applyProtection="1">
      <alignment horizontal="left" vertical="center"/>
      <protection hidden="1"/>
    </xf>
    <xf numFmtId="1" fontId="0" fillId="3" borderId="9" xfId="0" applyNumberFormat="1" applyFont="1" applyFill="1" applyBorder="1" applyAlignment="1" applyProtection="1">
      <alignment horizontal="left" vertical="center"/>
      <protection hidden="1"/>
    </xf>
    <xf numFmtId="1" fontId="0" fillId="3" borderId="3" xfId="0" applyNumberFormat="1" applyFont="1" applyFill="1" applyBorder="1" applyAlignment="1" applyProtection="1">
      <alignment horizontal="left" vertical="center"/>
      <protection hidden="1"/>
    </xf>
    <xf numFmtId="0" fontId="0" fillId="3" borderId="8" xfId="0" applyFont="1" applyFill="1" applyBorder="1" applyAlignment="1" applyProtection="1">
      <alignment horizontal="left" vertical="center"/>
      <protection hidden="1"/>
    </xf>
    <xf numFmtId="0" fontId="0" fillId="3" borderId="9" xfId="0" applyFont="1" applyFill="1" applyBorder="1" applyAlignment="1" applyProtection="1">
      <alignment horizontal="left" vertical="center"/>
      <protection hidden="1"/>
    </xf>
    <xf numFmtId="0" fontId="0" fillId="3" borderId="3" xfId="0" applyFont="1" applyFill="1" applyBorder="1" applyAlignment="1" applyProtection="1">
      <alignment horizontal="left" vertical="center"/>
      <protection hidden="1"/>
    </xf>
    <xf numFmtId="49" fontId="0" fillId="3" borderId="8" xfId="0" quotePrefix="1" applyNumberFormat="1" applyFont="1" applyFill="1" applyBorder="1" applyAlignment="1" applyProtection="1">
      <alignment horizontal="left" vertical="center"/>
      <protection hidden="1"/>
    </xf>
    <xf numFmtId="0" fontId="0" fillId="7" borderId="38" xfId="0" applyFont="1" applyFill="1" applyBorder="1" applyAlignment="1" applyProtection="1">
      <alignment vertical="center" wrapText="1"/>
      <protection hidden="1"/>
    </xf>
    <xf numFmtId="0" fontId="0" fillId="7" borderId="9" xfId="0" applyFont="1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horizontal="center" wrapText="1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0" fontId="99" fillId="7" borderId="1" xfId="0" applyFont="1" applyFill="1" applyBorder="1" applyAlignment="1" applyProtection="1">
      <alignment horizontal="center" wrapText="1"/>
      <protection hidden="1"/>
    </xf>
    <xf numFmtId="0" fontId="0" fillId="3" borderId="1" xfId="0" quotePrefix="1" applyFont="1" applyFill="1" applyBorder="1" applyAlignment="1" applyProtection="1">
      <alignment horizontal="left" vertical="center"/>
      <protection hidden="1"/>
    </xf>
    <xf numFmtId="0" fontId="0" fillId="3" borderId="1" xfId="0" applyFont="1" applyFill="1" applyBorder="1" applyAlignment="1" applyProtection="1">
      <alignment horizontal="left" vertical="center"/>
      <protection hidden="1"/>
    </xf>
    <xf numFmtId="0" fontId="0" fillId="7" borderId="3" xfId="0" applyFont="1" applyFill="1" applyBorder="1" applyAlignment="1" applyProtection="1">
      <alignment vertical="center" wrapText="1"/>
      <protection hidden="1"/>
    </xf>
    <xf numFmtId="0" fontId="0" fillId="0" borderId="8" xfId="0" applyNumberFormat="1" applyBorder="1" applyAlignment="1" applyProtection="1">
      <alignment horizontal="left" vertical="center" wrapText="1"/>
      <protection hidden="1"/>
    </xf>
    <xf numFmtId="0" fontId="0" fillId="0" borderId="9" xfId="0" applyNumberFormat="1" applyBorder="1" applyAlignment="1" applyProtection="1">
      <alignment horizontal="left" vertical="center" wrapText="1"/>
      <protection hidden="1"/>
    </xf>
    <xf numFmtId="0" fontId="37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protection hidden="1"/>
    </xf>
    <xf numFmtId="0" fontId="0" fillId="3" borderId="8" xfId="0" applyFill="1" applyBorder="1" applyAlignment="1" applyProtection="1">
      <alignment horizontal="left" vertical="center"/>
      <protection locked="0" hidden="1"/>
    </xf>
    <xf numFmtId="0" fontId="0" fillId="3" borderId="9" xfId="0" applyFill="1" applyBorder="1" applyAlignment="1" applyProtection="1">
      <alignment horizontal="left" vertical="center"/>
      <protection locked="0" hidden="1"/>
    </xf>
    <xf numFmtId="0" fontId="0" fillId="3" borderId="3" xfId="0" applyFill="1" applyBorder="1" applyAlignment="1" applyProtection="1">
      <alignment horizontal="left" vertical="center"/>
      <protection locked="0" hidden="1"/>
    </xf>
    <xf numFmtId="49" fontId="0" fillId="0" borderId="8" xfId="0" applyNumberFormat="1" applyBorder="1" applyAlignment="1" applyProtection="1">
      <alignment horizontal="left" vertical="center" wrapText="1"/>
      <protection hidden="1"/>
    </xf>
    <xf numFmtId="0" fontId="0" fillId="0" borderId="3" xfId="0" applyNumberFormat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left" vertical="center"/>
      <protection locked="0" hidden="1"/>
    </xf>
    <xf numFmtId="0" fontId="0" fillId="7" borderId="8" xfId="0" applyFont="1" applyFill="1" applyBorder="1" applyAlignment="1" applyProtection="1">
      <alignment vertical="center" wrapText="1"/>
      <protection hidden="1"/>
    </xf>
    <xf numFmtId="0" fontId="0" fillId="7" borderId="1" xfId="0" applyFont="1" applyFill="1" applyBorder="1" applyAlignment="1" applyProtection="1">
      <alignment vertical="center" wrapText="1"/>
      <protection hidden="1"/>
    </xf>
    <xf numFmtId="164" fontId="36" fillId="0" borderId="1" xfId="0" applyNumberFormat="1" applyFont="1" applyBorder="1" applyAlignment="1" applyProtection="1">
      <alignment horizontal="center" vertical="center" wrapText="1"/>
      <protection hidden="1"/>
    </xf>
    <xf numFmtId="0" fontId="36" fillId="3" borderId="0" xfId="0" applyFont="1" applyFill="1" applyBorder="1" applyAlignment="1" applyProtection="1">
      <alignment horizontal="left" wrapText="1"/>
      <protection hidden="1"/>
    </xf>
    <xf numFmtId="49" fontId="0" fillId="0" borderId="0" xfId="0" applyNumberFormat="1" applyBorder="1" applyAlignment="1">
      <alignment horizontal="left" wrapText="1"/>
    </xf>
    <xf numFmtId="0" fontId="36" fillId="7" borderId="1" xfId="20" applyFont="1" applyFill="1" applyBorder="1" applyAlignment="1">
      <alignment horizontal="left" vertical="center" wrapText="1"/>
    </xf>
    <xf numFmtId="0" fontId="82" fillId="7" borderId="8" xfId="0" applyFont="1" applyFill="1" applyBorder="1" applyAlignment="1" applyProtection="1">
      <alignment horizontal="left"/>
      <protection hidden="1"/>
    </xf>
    <xf numFmtId="0" fontId="82" fillId="7" borderId="9" xfId="0" applyFont="1" applyFill="1" applyBorder="1" applyAlignment="1" applyProtection="1">
      <alignment horizontal="left"/>
      <protection hidden="1"/>
    </xf>
    <xf numFmtId="0" fontId="82" fillId="7" borderId="3" xfId="0" applyFont="1" applyFill="1" applyBorder="1" applyAlignment="1" applyProtection="1">
      <alignment horizontal="left"/>
      <protection hidden="1"/>
    </xf>
    <xf numFmtId="0" fontId="37" fillId="0" borderId="0" xfId="0" applyFont="1" applyAlignment="1" applyProtection="1">
      <alignment horizontal="left" vertical="top" wrapText="1"/>
      <protection hidden="1"/>
    </xf>
    <xf numFmtId="0" fontId="0" fillId="3" borderId="8" xfId="0" quotePrefix="1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center" wrapText="1"/>
      <protection hidden="1"/>
    </xf>
    <xf numFmtId="0" fontId="80" fillId="3" borderId="0" xfId="0" applyFont="1" applyFill="1" applyAlignment="1" applyProtection="1">
      <alignment horizontal="left" wrapText="1"/>
      <protection locked="0" hidden="1"/>
    </xf>
    <xf numFmtId="0" fontId="68" fillId="7" borderId="1" xfId="20" applyFont="1" applyFill="1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wrapText="1"/>
      <protection locked="0" hidden="1"/>
    </xf>
    <xf numFmtId="0" fontId="36" fillId="0" borderId="8" xfId="0" applyFont="1" applyBorder="1" applyAlignment="1" applyProtection="1">
      <alignment horizontal="center" vertical="center" wrapText="1"/>
      <protection hidden="1"/>
    </xf>
    <xf numFmtId="0" fontId="36" fillId="0" borderId="9" xfId="0" applyFont="1" applyBorder="1" applyAlignment="1" applyProtection="1">
      <alignment horizontal="center" vertical="center" wrapText="1"/>
      <protection hidden="1"/>
    </xf>
    <xf numFmtId="0" fontId="36" fillId="0" borderId="3" xfId="0" applyFont="1" applyBorder="1" applyAlignment="1" applyProtection="1">
      <alignment horizontal="center" vertical="center" wrapText="1"/>
      <protection hidden="1"/>
    </xf>
    <xf numFmtId="164" fontId="36" fillId="0" borderId="8" xfId="0" applyNumberFormat="1" applyFont="1" applyBorder="1" applyAlignment="1" applyProtection="1">
      <alignment horizontal="center" vertical="center" wrapText="1"/>
      <protection hidden="1"/>
    </xf>
    <xf numFmtId="164" fontId="36" fillId="0" borderId="9" xfId="0" applyNumberFormat="1" applyFont="1" applyBorder="1" applyAlignment="1" applyProtection="1">
      <alignment horizontal="center" vertical="center" wrapText="1"/>
      <protection hidden="1"/>
    </xf>
    <xf numFmtId="164" fontId="36" fillId="0" borderId="3" xfId="0" applyNumberFormat="1" applyFont="1" applyBorder="1" applyAlignment="1" applyProtection="1">
      <alignment horizontal="center" vertical="center" wrapText="1"/>
      <protection hidden="1"/>
    </xf>
    <xf numFmtId="0" fontId="36" fillId="0" borderId="2" xfId="0" applyFont="1" applyBorder="1" applyAlignment="1" applyProtection="1">
      <alignment horizontal="center" vertical="top" wrapText="1"/>
      <protection hidden="1"/>
    </xf>
    <xf numFmtId="0" fontId="36" fillId="0" borderId="0" xfId="0" applyFont="1" applyBorder="1" applyAlignment="1" applyProtection="1">
      <alignment horizontal="center" vertical="top" wrapText="1"/>
      <protection hidden="1"/>
    </xf>
    <xf numFmtId="0" fontId="0" fillId="7" borderId="8" xfId="0" applyFill="1" applyBorder="1" applyAlignment="1" applyProtection="1">
      <alignment horizontal="left" vertical="center" wrapText="1"/>
      <protection hidden="1"/>
    </xf>
    <xf numFmtId="0" fontId="0" fillId="7" borderId="9" xfId="0" applyFill="1" applyBorder="1" applyAlignment="1" applyProtection="1">
      <alignment horizontal="left" vertical="center" wrapText="1"/>
      <protection hidden="1"/>
    </xf>
    <xf numFmtId="0" fontId="0" fillId="7" borderId="3" xfId="0" applyFill="1" applyBorder="1" applyAlignment="1" applyProtection="1">
      <alignment horizontal="left" vertical="center" wrapText="1"/>
      <protection hidden="1"/>
    </xf>
    <xf numFmtId="0" fontId="6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22" applyFont="1" applyAlignment="1" applyProtection="1">
      <alignment horizontal="center" wrapText="1"/>
      <protection locked="0"/>
    </xf>
    <xf numFmtId="0" fontId="4" fillId="0" borderId="7" xfId="22" applyFont="1" applyBorder="1" applyAlignment="1" applyProtection="1">
      <alignment horizontal="center" wrapText="1"/>
      <protection locked="0"/>
    </xf>
    <xf numFmtId="0" fontId="64" fillId="9" borderId="2" xfId="0" applyFont="1" applyFill="1" applyBorder="1" applyAlignment="1" applyProtection="1">
      <alignment horizontal="left" vertical="top" wrapText="1"/>
      <protection locked="0"/>
    </xf>
    <xf numFmtId="0" fontId="67" fillId="0" borderId="0" xfId="0" applyFont="1" applyFill="1" applyBorder="1" applyAlignment="1" applyProtection="1">
      <alignment horizontal="left" vertical="center" wrapText="1"/>
      <protection locked="0"/>
    </xf>
    <xf numFmtId="0" fontId="64" fillId="9" borderId="0" xfId="0" applyFont="1" applyFill="1" applyBorder="1" applyAlignment="1" applyProtection="1">
      <alignment horizontal="left" vertical="top" wrapText="1"/>
      <protection locked="0"/>
    </xf>
    <xf numFmtId="0" fontId="66" fillId="0" borderId="0" xfId="22" applyFont="1" applyAlignment="1" applyProtection="1">
      <alignment horizontal="center" vertical="center" wrapText="1"/>
      <protection locked="0"/>
    </xf>
    <xf numFmtId="0" fontId="66" fillId="0" borderId="0" xfId="22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64" fillId="9" borderId="1" xfId="0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64" fillId="9" borderId="8" xfId="0" applyFont="1" applyFill="1" applyBorder="1" applyAlignment="1" applyProtection="1">
      <alignment horizontal="left" vertical="center" wrapText="1"/>
      <protection locked="0"/>
    </xf>
    <xf numFmtId="0" fontId="64" fillId="9" borderId="9" xfId="0" applyFont="1" applyFill="1" applyBorder="1" applyAlignment="1" applyProtection="1">
      <alignment horizontal="left" vertical="center" wrapText="1"/>
      <protection locked="0"/>
    </xf>
    <xf numFmtId="0" fontId="64" fillId="9" borderId="3" xfId="0" applyFont="1" applyFill="1" applyBorder="1" applyAlignment="1" applyProtection="1">
      <alignment horizontal="left" vertical="center" wrapText="1"/>
      <protection locked="0"/>
    </xf>
    <xf numFmtId="0" fontId="64" fillId="9" borderId="8" xfId="0" applyFont="1" applyFill="1" applyBorder="1" applyAlignment="1" applyProtection="1">
      <alignment horizontal="center" vertical="center" wrapText="1"/>
      <protection locked="0"/>
    </xf>
    <xf numFmtId="0" fontId="64" fillId="9" borderId="9" xfId="0" applyFont="1" applyFill="1" applyBorder="1" applyAlignment="1" applyProtection="1">
      <alignment horizontal="center" vertical="center" wrapText="1"/>
      <protection locked="0"/>
    </xf>
    <xf numFmtId="0" fontId="64" fillId="9" borderId="3" xfId="0" applyFont="1" applyFill="1" applyBorder="1" applyAlignment="1" applyProtection="1">
      <alignment horizontal="center" vertical="center" wrapText="1"/>
      <protection locked="0"/>
    </xf>
    <xf numFmtId="0" fontId="64" fillId="0" borderId="4" xfId="0" applyFont="1" applyBorder="1" applyAlignment="1" applyProtection="1">
      <alignment horizontal="center" vertical="center" wrapText="1"/>
      <protection locked="0"/>
    </xf>
    <xf numFmtId="0" fontId="64" fillId="0" borderId="2" xfId="0" applyFont="1" applyBorder="1" applyAlignment="1" applyProtection="1">
      <alignment horizontal="center" vertical="center" wrapText="1"/>
      <protection locked="0"/>
    </xf>
    <xf numFmtId="0" fontId="64" fillId="0" borderId="10" xfId="0" applyFont="1" applyBorder="1" applyAlignment="1" applyProtection="1">
      <alignment horizontal="center" vertical="center" wrapText="1"/>
      <protection locked="0"/>
    </xf>
    <xf numFmtId="0" fontId="64" fillId="0" borderId="5" xfId="0" applyFont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 applyProtection="1">
      <alignment horizontal="center" vertical="center" wrapText="1"/>
      <protection locked="0"/>
    </xf>
    <xf numFmtId="0" fontId="64" fillId="0" borderId="29" xfId="0" applyFont="1" applyBorder="1" applyAlignment="1" applyProtection="1">
      <alignment horizontal="center" vertical="center" wrapText="1"/>
      <protection locked="0"/>
    </xf>
    <xf numFmtId="0" fontId="64" fillId="0" borderId="6" xfId="0" applyFont="1" applyBorder="1" applyAlignment="1" applyProtection="1">
      <alignment horizontal="center" vertical="center" wrapText="1"/>
      <protection locked="0"/>
    </xf>
    <xf numFmtId="0" fontId="64" fillId="0" borderId="7" xfId="0" applyFont="1" applyBorder="1" applyAlignment="1" applyProtection="1">
      <alignment horizontal="center" vertical="center" wrapText="1"/>
      <protection locked="0"/>
    </xf>
    <xf numFmtId="0" fontId="64" fillId="0" borderId="11" xfId="0" applyFont="1" applyBorder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left" vertical="center" wrapText="1"/>
      <protection locked="0"/>
    </xf>
    <xf numFmtId="0" fontId="66" fillId="0" borderId="0" xfId="0" applyFont="1" applyAlignment="1" applyProtection="1">
      <alignment horizontal="left" wrapText="1"/>
      <protection locked="0"/>
    </xf>
    <xf numFmtId="4" fontId="64" fillId="9" borderId="8" xfId="0" applyNumberFormat="1" applyFont="1" applyFill="1" applyBorder="1" applyAlignment="1" applyProtection="1">
      <alignment horizontal="left" vertical="center" wrapText="1"/>
      <protection locked="0"/>
    </xf>
    <xf numFmtId="0" fontId="98" fillId="10" borderId="8" xfId="0" applyFont="1" applyFill="1" applyBorder="1" applyAlignment="1" applyProtection="1">
      <alignment horizontal="left" vertical="center" wrapText="1"/>
      <protection locked="0"/>
    </xf>
    <xf numFmtId="0" fontId="98" fillId="10" borderId="9" xfId="0" applyFont="1" applyFill="1" applyBorder="1" applyAlignment="1" applyProtection="1">
      <alignment horizontal="left" vertical="center" wrapText="1"/>
      <protection locked="0"/>
    </xf>
    <xf numFmtId="0" fontId="98" fillId="10" borderId="3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 applyBorder="1" applyAlignment="1" applyProtection="1">
      <alignment horizontal="left" wrapText="1"/>
      <protection locked="0"/>
    </xf>
    <xf numFmtId="0" fontId="4" fillId="0" borderId="9" xfId="22" applyFont="1" applyBorder="1" applyAlignment="1" applyProtection="1">
      <alignment horizontal="center" wrapText="1"/>
      <protection locked="0"/>
    </xf>
    <xf numFmtId="0" fontId="68" fillId="0" borderId="0" xfId="22" applyFont="1" applyAlignment="1">
      <alignment horizont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64" fillId="10" borderId="8" xfId="0" applyFont="1" applyFill="1" applyBorder="1" applyAlignment="1" applyProtection="1">
      <alignment horizontal="left" vertical="center" wrapText="1"/>
      <protection locked="0"/>
    </xf>
    <xf numFmtId="0" fontId="64" fillId="10" borderId="9" xfId="0" applyFont="1" applyFill="1" applyBorder="1" applyAlignment="1" applyProtection="1">
      <alignment horizontal="left" vertical="center" wrapText="1"/>
      <protection locked="0"/>
    </xf>
    <xf numFmtId="0" fontId="64" fillId="10" borderId="3" xfId="0" applyFont="1" applyFill="1" applyBorder="1" applyAlignment="1" applyProtection="1">
      <alignment horizontal="left" vertical="center" wrapText="1"/>
      <protection locked="0"/>
    </xf>
    <xf numFmtId="0" fontId="64" fillId="10" borderId="8" xfId="0" applyFont="1" applyFill="1" applyBorder="1" applyAlignment="1" applyProtection="1">
      <alignment horizontal="center" vertical="center" wrapText="1"/>
      <protection locked="0"/>
    </xf>
    <xf numFmtId="0" fontId="64" fillId="10" borderId="9" xfId="0" applyFont="1" applyFill="1" applyBorder="1" applyAlignment="1" applyProtection="1">
      <alignment horizontal="center" vertical="center" wrapText="1"/>
      <protection locked="0"/>
    </xf>
    <xf numFmtId="0" fontId="64" fillId="10" borderId="3" xfId="0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right" vertical="center"/>
      <protection locked="0"/>
    </xf>
    <xf numFmtId="0" fontId="64" fillId="9" borderId="0" xfId="0" applyFont="1" applyFill="1" applyBorder="1" applyAlignment="1" applyProtection="1">
      <alignment horizontal="left" vertical="center" wrapText="1"/>
      <protection locked="0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18" fillId="14" borderId="8" xfId="27" applyFont="1" applyFill="1" applyBorder="1" applyAlignment="1" applyProtection="1">
      <alignment horizontal="left"/>
    </xf>
    <xf numFmtId="0" fontId="18" fillId="14" borderId="9" xfId="27" applyFont="1" applyFill="1" applyBorder="1" applyAlignment="1" applyProtection="1">
      <alignment horizontal="left"/>
    </xf>
    <xf numFmtId="0" fontId="18" fillId="14" borderId="3" xfId="27" applyFont="1" applyFill="1" applyBorder="1" applyAlignment="1" applyProtection="1">
      <alignment horizontal="left"/>
    </xf>
    <xf numFmtId="2" fontId="18" fillId="3" borderId="8" xfId="27" applyNumberFormat="1" applyFont="1" applyFill="1" applyBorder="1" applyAlignment="1" applyProtection="1">
      <alignment horizontal="center"/>
      <protection locked="0"/>
    </xf>
    <xf numFmtId="2" fontId="18" fillId="3" borderId="3" xfId="27" applyNumberFormat="1" applyFont="1" applyFill="1" applyBorder="1" applyAlignment="1" applyProtection="1">
      <alignment horizontal="center"/>
      <protection locked="0"/>
    </xf>
    <xf numFmtId="3" fontId="18" fillId="3" borderId="8" xfId="27" applyNumberFormat="1" applyFont="1" applyFill="1" applyBorder="1" applyAlignment="1" applyProtection="1">
      <alignment horizontal="center"/>
    </xf>
    <xf numFmtId="3" fontId="18" fillId="3" borderId="3" xfId="27" applyNumberFormat="1" applyFont="1" applyFill="1" applyBorder="1" applyAlignment="1" applyProtection="1">
      <alignment horizontal="center"/>
    </xf>
    <xf numFmtId="0" fontId="83" fillId="0" borderId="0" xfId="27" applyAlignment="1">
      <alignment horizontal="left" wrapText="1"/>
    </xf>
    <xf numFmtId="0" fontId="83" fillId="3" borderId="14" xfId="27" applyFill="1" applyBorder="1" applyAlignment="1">
      <alignment horizontal="center" vertical="center"/>
    </xf>
    <xf numFmtId="0" fontId="83" fillId="3" borderId="12" xfId="27" applyFill="1" applyBorder="1" applyAlignment="1">
      <alignment horizontal="center" vertical="center"/>
    </xf>
    <xf numFmtId="0" fontId="83" fillId="3" borderId="13" xfId="27" applyFill="1" applyBorder="1" applyAlignment="1">
      <alignment horizontal="center" vertical="center"/>
    </xf>
    <xf numFmtId="0" fontId="83" fillId="3" borderId="26" xfId="27" applyFill="1" applyBorder="1" applyAlignment="1">
      <alignment horizontal="center" vertical="center"/>
    </xf>
    <xf numFmtId="0" fontId="83" fillId="3" borderId="27" xfId="27" applyFill="1" applyBorder="1" applyAlignment="1">
      <alignment horizontal="center" vertical="center"/>
    </xf>
    <xf numFmtId="0" fontId="83" fillId="3" borderId="28" xfId="27" applyFill="1" applyBorder="1" applyAlignment="1">
      <alignment horizontal="center" vertical="center"/>
    </xf>
    <xf numFmtId="0" fontId="87" fillId="13" borderId="12" xfId="27" applyFont="1" applyFill="1" applyBorder="1" applyAlignment="1">
      <alignment horizontal="center"/>
    </xf>
    <xf numFmtId="3" fontId="18" fillId="3" borderId="8" xfId="27" applyNumberFormat="1" applyFont="1" applyFill="1" applyBorder="1" applyAlignment="1" applyProtection="1">
      <alignment horizontal="center"/>
      <protection locked="0"/>
    </xf>
    <xf numFmtId="3" fontId="18" fillId="3" borderId="3" xfId="27" applyNumberFormat="1" applyFont="1" applyFill="1" applyBorder="1" applyAlignment="1" applyProtection="1">
      <alignment horizontal="center"/>
      <protection locked="0"/>
    </xf>
    <xf numFmtId="0" fontId="18" fillId="3" borderId="8" xfId="27" applyFont="1" applyFill="1" applyBorder="1" applyAlignment="1" applyProtection="1">
      <alignment horizontal="center"/>
      <protection locked="0"/>
    </xf>
    <xf numFmtId="0" fontId="18" fillId="3" borderId="3" xfId="27" applyFont="1" applyFill="1" applyBorder="1" applyAlignment="1" applyProtection="1">
      <alignment horizontal="center"/>
      <protection locked="0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75" fillId="0" borderId="8" xfId="0" applyFont="1" applyBorder="1" applyAlignment="1" applyProtection="1">
      <alignment horizontal="center" vertical="center" wrapText="1"/>
      <protection locked="0"/>
    </xf>
    <xf numFmtId="0" fontId="75" fillId="0" borderId="9" xfId="0" applyFont="1" applyBorder="1" applyAlignment="1" applyProtection="1">
      <alignment horizontal="center" vertical="center" wrapText="1"/>
      <protection locked="0"/>
    </xf>
    <xf numFmtId="0" fontId="75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center" wrapText="1"/>
    </xf>
    <xf numFmtId="0" fontId="17" fillId="0" borderId="8" xfId="29" applyFont="1" applyBorder="1" applyAlignment="1">
      <alignment horizontal="left" vertical="center" wrapText="1"/>
    </xf>
    <xf numFmtId="0" fontId="17" fillId="0" borderId="9" xfId="29" applyFont="1" applyBorder="1" applyAlignment="1">
      <alignment horizontal="left" vertical="center" wrapText="1"/>
    </xf>
    <xf numFmtId="0" fontId="17" fillId="0" borderId="3" xfId="29" applyFont="1" applyBorder="1" applyAlignment="1">
      <alignment horizontal="left" vertical="center" wrapText="1"/>
    </xf>
    <xf numFmtId="0" fontId="17" fillId="0" borderId="1" xfId="29" applyFont="1" applyBorder="1" applyAlignment="1">
      <alignment horizontal="left" vertical="center" wrapText="1"/>
    </xf>
    <xf numFmtId="0" fontId="88" fillId="13" borderId="8" xfId="29" applyFont="1" applyFill="1" applyBorder="1" applyAlignment="1">
      <alignment horizontal="left" vertical="center" wrapText="1"/>
    </xf>
    <xf numFmtId="0" fontId="88" fillId="13" borderId="9" xfId="29" applyFont="1" applyFill="1" applyBorder="1" applyAlignment="1">
      <alignment horizontal="left" vertical="center" wrapText="1"/>
    </xf>
    <xf numFmtId="0" fontId="88" fillId="13" borderId="3" xfId="29" applyFont="1" applyFill="1" applyBorder="1" applyAlignment="1">
      <alignment horizontal="left" vertical="center" wrapText="1"/>
    </xf>
    <xf numFmtId="0" fontId="11" fillId="0" borderId="1" xfId="12" applyBorder="1" applyAlignment="1">
      <alignment horizontal="left" vertical="center" wrapText="1"/>
    </xf>
    <xf numFmtId="0" fontId="11" fillId="0" borderId="8" xfId="12" applyBorder="1" applyAlignment="1">
      <alignment horizontal="left" vertical="center" wrapText="1"/>
    </xf>
    <xf numFmtId="0" fontId="11" fillId="0" borderId="9" xfId="12" applyBorder="1" applyAlignment="1">
      <alignment horizontal="left" vertical="center" wrapText="1"/>
    </xf>
    <xf numFmtId="0" fontId="11" fillId="0" borderId="3" xfId="12" applyBorder="1" applyAlignment="1">
      <alignment horizontal="left" vertical="center" wrapText="1"/>
    </xf>
    <xf numFmtId="0" fontId="17" fillId="0" borderId="1" xfId="29" applyFont="1" applyBorder="1" applyAlignment="1">
      <alignment vertical="center" wrapText="1"/>
    </xf>
    <xf numFmtId="0" fontId="17" fillId="0" borderId="7" xfId="28" applyFont="1" applyBorder="1" applyAlignment="1">
      <alignment horizontal="right"/>
    </xf>
    <xf numFmtId="0" fontId="88" fillId="3" borderId="1" xfId="28" applyFont="1" applyFill="1" applyBorder="1" applyAlignment="1">
      <alignment horizontal="center" vertical="center" wrapText="1"/>
    </xf>
    <xf numFmtId="0" fontId="17" fillId="3" borderId="8" xfId="28" applyFont="1" applyFill="1" applyBorder="1" applyAlignment="1">
      <alignment horizontal="center" vertical="center" wrapText="1"/>
    </xf>
    <xf numFmtId="0" fontId="17" fillId="3" borderId="9" xfId="28" applyFont="1" applyFill="1" applyBorder="1" applyAlignment="1">
      <alignment horizontal="center" vertical="center" wrapText="1"/>
    </xf>
    <xf numFmtId="0" fontId="17" fillId="3" borderId="3" xfId="28" applyFont="1" applyFill="1" applyBorder="1" applyAlignment="1">
      <alignment horizontal="center" vertical="center" wrapText="1"/>
    </xf>
    <xf numFmtId="0" fontId="106" fillId="3" borderId="0" xfId="0" applyFont="1" applyFill="1" applyAlignment="1">
      <alignment horizontal="left" vertical="center" wrapText="1"/>
    </xf>
    <xf numFmtId="0" fontId="32" fillId="3" borderId="2" xfId="0" quotePrefix="1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23" xfId="0" applyFont="1" applyFill="1" applyBorder="1" applyAlignment="1" applyProtection="1">
      <alignment horizontal="center" vertical="center" wrapText="1"/>
    </xf>
    <xf numFmtId="49" fontId="17" fillId="0" borderId="20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17" fillId="6" borderId="8" xfId="0" applyNumberFormat="1" applyFont="1" applyFill="1" applyBorder="1" applyAlignment="1" applyProtection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7" fillId="6" borderId="8" xfId="0" applyFont="1" applyFill="1" applyBorder="1" applyAlignment="1" applyProtection="1">
      <alignment horizontal="left" vertical="center" wrapText="1"/>
    </xf>
    <xf numFmtId="0" fontId="0" fillId="6" borderId="9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7" fillId="6" borderId="8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20" fillId="0" borderId="8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73" fillId="0" borderId="9" xfId="0" applyFont="1" applyBorder="1" applyAlignment="1">
      <alignment horizontal="left" vertical="center" wrapText="1"/>
    </xf>
    <xf numFmtId="0" fontId="73" fillId="0" borderId="23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49" fontId="17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8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 applyProtection="1">
      <alignment horizontal="justify" wrapText="1"/>
    </xf>
    <xf numFmtId="0" fontId="17" fillId="3" borderId="0" xfId="0" applyFont="1" applyFill="1" applyBorder="1" applyAlignment="1" applyProtection="1">
      <alignment horizontal="justify" wrapText="1"/>
    </xf>
    <xf numFmtId="0" fontId="17" fillId="3" borderId="21" xfId="0" applyFont="1" applyFill="1" applyBorder="1" applyAlignment="1" applyProtection="1">
      <alignment horizontal="justify" wrapText="1"/>
    </xf>
    <xf numFmtId="0" fontId="76" fillId="3" borderId="4" xfId="0" applyFont="1" applyFill="1" applyBorder="1" applyAlignment="1">
      <alignment horizontal="left" vertical="center" wrapText="1"/>
    </xf>
    <xf numFmtId="0" fontId="76" fillId="3" borderId="2" xfId="0" applyFont="1" applyFill="1" applyBorder="1" applyAlignment="1">
      <alignment horizontal="left" vertical="center" wrapText="1"/>
    </xf>
    <xf numFmtId="0" fontId="76" fillId="3" borderId="10" xfId="0" applyFont="1" applyFill="1" applyBorder="1" applyAlignment="1">
      <alignment horizontal="left" vertical="center" wrapText="1"/>
    </xf>
    <xf numFmtId="49" fontId="17" fillId="0" borderId="18" xfId="0" applyNumberFormat="1" applyFont="1" applyBorder="1" applyAlignment="1" applyProtection="1">
      <alignment horizontal="center" vertical="center"/>
    </xf>
    <xf numFmtId="49" fontId="17" fillId="0" borderId="19" xfId="0" applyNumberFormat="1" applyFont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left" vertical="center" wrapText="1"/>
    </xf>
    <xf numFmtId="0" fontId="19" fillId="3" borderId="9" xfId="0" applyFont="1" applyFill="1" applyBorder="1" applyAlignment="1" applyProtection="1">
      <alignment horizontal="left" vertical="center" wrapText="1"/>
    </xf>
    <xf numFmtId="0" fontId="19" fillId="3" borderId="23" xfId="0" applyFont="1" applyFill="1" applyBorder="1" applyAlignment="1" applyProtection="1">
      <alignment horizontal="left" vertical="center" wrapText="1"/>
    </xf>
    <xf numFmtId="4" fontId="76" fillId="0" borderId="3" xfId="0" applyNumberFormat="1" applyFont="1" applyFill="1" applyBorder="1" applyAlignment="1">
      <alignment horizontal="center" vertical="center" wrapText="1"/>
    </xf>
    <xf numFmtId="4" fontId="80" fillId="0" borderId="1" xfId="0" applyNumberFormat="1" applyFont="1" applyFill="1" applyBorder="1" applyAlignment="1">
      <alignment horizontal="center" vertical="center" wrapText="1"/>
    </xf>
    <xf numFmtId="4" fontId="17" fillId="6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76" fillId="0" borderId="1" xfId="0" applyNumberFormat="1" applyFont="1" applyFill="1" applyBorder="1" applyAlignment="1">
      <alignment horizontal="left" vertical="center" wrapText="1"/>
    </xf>
    <xf numFmtId="4" fontId="80" fillId="0" borderId="1" xfId="0" applyNumberFormat="1" applyFont="1" applyFill="1" applyBorder="1" applyAlignment="1">
      <alignment horizontal="left" vertical="center" wrapText="1"/>
    </xf>
    <xf numFmtId="165" fontId="17" fillId="3" borderId="0" xfId="0" applyNumberFormat="1" applyFont="1" applyFill="1" applyBorder="1" applyAlignment="1">
      <alignment horizontal="right" vertical="center" wrapText="1"/>
    </xf>
    <xf numFmtId="165" fontId="17" fillId="3" borderId="21" xfId="0" applyNumberFormat="1" applyFont="1" applyFill="1" applyBorder="1" applyAlignment="1">
      <alignment horizontal="right" vertical="center" wrapText="1"/>
    </xf>
    <xf numFmtId="0" fontId="76" fillId="3" borderId="8" xfId="0" applyFont="1" applyFill="1" applyBorder="1" applyAlignment="1">
      <alignment horizontal="center" vertical="center" wrapText="1"/>
    </xf>
    <xf numFmtId="0" fontId="76" fillId="3" borderId="9" xfId="0" applyFont="1" applyFill="1" applyBorder="1" applyAlignment="1">
      <alignment horizontal="center" vertical="center" wrapText="1"/>
    </xf>
    <xf numFmtId="0" fontId="76" fillId="3" borderId="3" xfId="0" applyFont="1" applyFill="1" applyBorder="1" applyAlignment="1">
      <alignment horizontal="center" vertical="center" wrapText="1"/>
    </xf>
    <xf numFmtId="4" fontId="76" fillId="0" borderId="0" xfId="0" applyNumberFormat="1" applyFont="1" applyFill="1" applyBorder="1" applyAlignment="1">
      <alignment horizontal="center" vertical="center" wrapText="1"/>
    </xf>
    <xf numFmtId="4" fontId="80" fillId="0" borderId="0" xfId="0" applyNumberFormat="1" applyFont="1" applyFill="1" applyBorder="1" applyAlignment="1">
      <alignment horizontal="center" vertical="center" wrapText="1"/>
    </xf>
    <xf numFmtId="0" fontId="17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9" xfId="0" applyNumberFormat="1" applyFont="1" applyFill="1" applyBorder="1" applyAlignment="1">
      <alignment horizontal="left" vertical="center" wrapText="1"/>
    </xf>
    <xf numFmtId="0" fontId="0" fillId="3" borderId="2" xfId="0" applyNumberFormat="1" applyFont="1" applyFill="1" applyBorder="1" applyAlignment="1">
      <alignment horizontal="left" vertical="center" wrapText="1"/>
    </xf>
    <xf numFmtId="0" fontId="0" fillId="3" borderId="24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7" fillId="6" borderId="8" xfId="0" applyNumberFormat="1" applyFont="1" applyFill="1" applyBorder="1" applyAlignment="1">
      <alignment horizontal="left" vertical="center" wrapText="1"/>
    </xf>
    <xf numFmtId="0" fontId="17" fillId="6" borderId="9" xfId="0" applyNumberFormat="1" applyFont="1" applyFill="1" applyBorder="1" applyAlignment="1">
      <alignment horizontal="left" vertical="center" wrapText="1"/>
    </xf>
    <xf numFmtId="0" fontId="17" fillId="6" borderId="3" xfId="0" applyNumberFormat="1" applyFont="1" applyFill="1" applyBorder="1" applyAlignment="1">
      <alignment horizontal="left" vertical="center" wrapText="1"/>
    </xf>
    <xf numFmtId="0" fontId="17" fillId="6" borderId="1" xfId="0" applyNumberFormat="1" applyFont="1" applyFill="1" applyBorder="1" applyAlignment="1">
      <alignment horizontal="right" vertical="center" wrapText="1"/>
    </xf>
    <xf numFmtId="4" fontId="17" fillId="6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76" fillId="0" borderId="1" xfId="0" applyNumberFormat="1" applyFont="1" applyFill="1" applyBorder="1" applyAlignment="1">
      <alignment horizontal="center" vertical="center" wrapText="1"/>
    </xf>
    <xf numFmtId="17" fontId="17" fillId="6" borderId="8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 applyProtection="1"/>
    <xf numFmtId="0" fontId="0" fillId="0" borderId="0" xfId="0" applyBorder="1" applyAlignment="1"/>
    <xf numFmtId="0" fontId="17" fillId="3" borderId="0" xfId="0" applyFont="1" applyFill="1" applyBorder="1" applyAlignment="1" applyProtection="1">
      <alignment horizontal="right"/>
    </xf>
    <xf numFmtId="1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17" fillId="3" borderId="15" xfId="0" applyFont="1" applyFill="1" applyBorder="1" applyAlignment="1" applyProtection="1">
      <alignment horizontal="right"/>
    </xf>
    <xf numFmtId="14" fontId="13" fillId="6" borderId="8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3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/>
    </xf>
    <xf numFmtId="0" fontId="17" fillId="3" borderId="1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4" fontId="17" fillId="6" borderId="3" xfId="0" applyNumberFormat="1" applyFont="1" applyFill="1" applyBorder="1" applyAlignment="1">
      <alignment horizontal="right" vertical="center" wrapText="1"/>
    </xf>
    <xf numFmtId="4" fontId="76" fillId="0" borderId="0" xfId="0" applyNumberFormat="1" applyFont="1" applyFill="1" applyBorder="1" applyAlignment="1">
      <alignment horizontal="left" vertical="center" wrapText="1"/>
    </xf>
    <xf numFmtId="4" fontId="80" fillId="0" borderId="0" xfId="0" applyNumberFormat="1" applyFont="1" applyFill="1" applyBorder="1" applyAlignment="1">
      <alignment horizontal="left" vertical="center" wrapText="1"/>
    </xf>
    <xf numFmtId="0" fontId="32" fillId="0" borderId="16" xfId="0" applyFont="1" applyBorder="1" applyAlignment="1" applyProtection="1">
      <alignment horizontal="left" wrapText="1"/>
    </xf>
    <xf numFmtId="0" fontId="33" fillId="0" borderId="9" xfId="0" applyFont="1" applyBorder="1" applyAlignment="1" applyProtection="1">
      <alignment horizontal="left" wrapText="1"/>
    </xf>
    <xf numFmtId="0" fontId="33" fillId="0" borderId="23" xfId="0" applyFont="1" applyBorder="1" applyAlignment="1" applyProtection="1">
      <alignment horizontal="left" wrapText="1"/>
    </xf>
    <xf numFmtId="0" fontId="0" fillId="0" borderId="9" xfId="0" applyFont="1" applyBorder="1" applyAlignment="1">
      <alignment horizontal="left" vertical="center" wrapText="1"/>
    </xf>
    <xf numFmtId="49" fontId="1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6" borderId="24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/>
    </xf>
    <xf numFmtId="1" fontId="17" fillId="6" borderId="4" xfId="18" applyNumberFormat="1" applyFont="1" applyFill="1" applyBorder="1" applyAlignment="1" applyProtection="1">
      <alignment horizontal="center" vertical="center" wrapText="1"/>
      <protection locked="0"/>
    </xf>
    <xf numFmtId="1" fontId="17" fillId="6" borderId="2" xfId="18" applyNumberFormat="1" applyFont="1" applyFill="1" applyBorder="1" applyAlignment="1" applyProtection="1">
      <alignment horizontal="center" vertical="center" wrapText="1"/>
      <protection locked="0"/>
    </xf>
    <xf numFmtId="1" fontId="17" fillId="6" borderId="24" xfId="18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1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9" xfId="0" applyNumberFormat="1" applyFont="1" applyFill="1" applyBorder="1" applyAlignment="1" applyProtection="1">
      <alignment horizontal="center" vertical="center" wrapText="1"/>
      <protection locked="0"/>
    </xf>
    <xf numFmtId="1" fontId="0" fillId="6" borderId="9" xfId="0" applyNumberFormat="1" applyFont="1" applyFill="1" applyBorder="1" applyAlignment="1">
      <alignment horizontal="center" vertical="center" wrapText="1"/>
    </xf>
    <xf numFmtId="1" fontId="0" fillId="6" borderId="3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49" fontId="17" fillId="6" borderId="8" xfId="0" applyNumberFormat="1" applyFont="1" applyFill="1" applyBorder="1" applyAlignment="1" applyProtection="1">
      <alignment horizontal="center" vertical="center"/>
      <protection locked="0"/>
    </xf>
    <xf numFmtId="49" fontId="17" fillId="6" borderId="23" xfId="0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 wrapText="1"/>
    </xf>
    <xf numFmtId="0" fontId="17" fillId="6" borderId="31" xfId="0" applyFont="1" applyFill="1" applyBorder="1" applyAlignment="1" applyProtection="1">
      <alignment horizontal="center" vertical="center" wrapText="1"/>
    </xf>
    <xf numFmtId="0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73" fillId="0" borderId="0" xfId="0" applyNumberFormat="1" applyFont="1" applyFill="1" applyBorder="1" applyAlignment="1">
      <alignment horizontal="center" vertical="center" wrapText="1"/>
    </xf>
    <xf numFmtId="0" fontId="30" fillId="3" borderId="12" xfId="0" applyFont="1" applyFill="1" applyBorder="1" applyAlignment="1" applyProtection="1">
      <alignment horizontal="right" vertical="center" wrapText="1"/>
    </xf>
    <xf numFmtId="0" fontId="30" fillId="6" borderId="12" xfId="0" applyFont="1" applyFill="1" applyBorder="1" applyAlignment="1" applyProtection="1">
      <alignment horizontal="right" vertical="center" wrapText="1"/>
    </xf>
    <xf numFmtId="0" fontId="30" fillId="6" borderId="13" xfId="0" applyFont="1" applyFill="1" applyBorder="1" applyAlignment="1" applyProtection="1">
      <alignment horizontal="right" vertical="center" wrapText="1"/>
    </xf>
    <xf numFmtId="0" fontId="30" fillId="3" borderId="7" xfId="0" applyFont="1" applyFill="1" applyBorder="1" applyAlignment="1" applyProtection="1">
      <alignment horizontal="center" vertical="center" wrapText="1"/>
    </xf>
    <xf numFmtId="0" fontId="30" fillId="3" borderId="22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 applyProtection="1">
      <alignment horizontal="center" vertical="center"/>
    </xf>
    <xf numFmtId="0" fontId="19" fillId="6" borderId="9" xfId="0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center" vertical="center"/>
    </xf>
    <xf numFmtId="0" fontId="19" fillId="6" borderId="31" xfId="0" applyFont="1" applyFill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7" fillId="6" borderId="8" xfId="0" applyFont="1" applyFill="1" applyBorder="1" applyAlignment="1" applyProtection="1">
      <alignment horizontal="center" vertical="center"/>
    </xf>
    <xf numFmtId="0" fontId="17" fillId="6" borderId="9" xfId="0" applyFont="1" applyFill="1" applyBorder="1" applyAlignment="1" applyProtection="1">
      <alignment horizontal="center" vertical="center"/>
    </xf>
    <xf numFmtId="0" fontId="17" fillId="6" borderId="3" xfId="0" applyFont="1" applyFill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/>
    </xf>
    <xf numFmtId="49" fontId="17" fillId="0" borderId="20" xfId="0" applyNumberFormat="1" applyFont="1" applyBorder="1" applyAlignment="1" applyProtection="1">
      <alignment horizontal="center" vertical="top"/>
    </xf>
    <xf numFmtId="49" fontId="17" fillId="0" borderId="18" xfId="0" applyNumberFormat="1" applyFont="1" applyBorder="1" applyAlignment="1" applyProtection="1">
      <alignment horizontal="center" vertical="top"/>
    </xf>
    <xf numFmtId="49" fontId="17" fillId="0" borderId="19" xfId="0" applyNumberFormat="1" applyFont="1" applyBorder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7" fillId="6" borderId="31" xfId="0" applyFont="1" applyFill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left" vertical="center"/>
    </xf>
    <xf numFmtId="0" fontId="17" fillId="0" borderId="32" xfId="0" applyFont="1" applyBorder="1" applyAlignment="1" applyProtection="1">
      <alignment horizontal="left" vertical="center"/>
    </xf>
    <xf numFmtId="0" fontId="17" fillId="0" borderId="33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17" fillId="3" borderId="15" xfId="0" applyFont="1" applyFill="1" applyBorder="1" applyAlignment="1" applyProtection="1">
      <alignment horizontal="justify" vertical="center" wrapText="1"/>
    </xf>
    <xf numFmtId="0" fontId="17" fillId="3" borderId="0" xfId="0" applyFont="1" applyFill="1" applyBorder="1" applyAlignment="1" applyProtection="1">
      <alignment horizontal="justify" vertical="center" wrapText="1"/>
    </xf>
    <xf numFmtId="0" fontId="17" fillId="3" borderId="21" xfId="0" applyFont="1" applyFill="1" applyBorder="1" applyAlignment="1" applyProtection="1">
      <alignment horizontal="justify" vertical="center" wrapText="1"/>
    </xf>
    <xf numFmtId="0" fontId="17" fillId="3" borderId="15" xfId="0" applyFont="1" applyFill="1" applyBorder="1" applyAlignment="1" applyProtection="1">
      <alignment horizontal="justify" vertical="top" wrapText="1"/>
    </xf>
    <xf numFmtId="0" fontId="17" fillId="3" borderId="0" xfId="0" applyFont="1" applyFill="1" applyBorder="1" applyAlignment="1" applyProtection="1">
      <alignment horizontal="justify" vertical="top" wrapText="1"/>
    </xf>
    <xf numFmtId="0" fontId="17" fillId="3" borderId="21" xfId="0" applyFont="1" applyFill="1" applyBorder="1" applyAlignment="1" applyProtection="1">
      <alignment horizontal="justify" vertical="top" wrapText="1"/>
    </xf>
    <xf numFmtId="0" fontId="17" fillId="0" borderId="8" xfId="0" applyFont="1" applyBorder="1" applyAlignment="1" applyProtection="1">
      <alignment horizontal="left" vertical="top" wrapText="1"/>
    </xf>
    <xf numFmtId="0" fontId="17" fillId="0" borderId="9" xfId="0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left" vertical="top" wrapText="1"/>
    </xf>
    <xf numFmtId="0" fontId="49" fillId="4" borderId="0" xfId="13" applyFont="1" applyFill="1" applyAlignment="1" applyProtection="1">
      <alignment vertical="center" wrapText="1"/>
    </xf>
    <xf numFmtId="0" fontId="14" fillId="0" borderId="0" xfId="13" applyFont="1" applyAlignment="1">
      <alignment vertical="center" wrapText="1"/>
    </xf>
    <xf numFmtId="0" fontId="49" fillId="4" borderId="7" xfId="13" applyFont="1" applyFill="1" applyBorder="1" applyAlignment="1" applyProtection="1">
      <alignment horizontal="center" vertical="center"/>
      <protection locked="0"/>
    </xf>
    <xf numFmtId="14" fontId="49" fillId="4" borderId="7" xfId="13" applyNumberFormat="1" applyFont="1" applyFill="1" applyBorder="1" applyAlignment="1" applyProtection="1">
      <alignment horizontal="center" vertical="center"/>
      <protection locked="0"/>
    </xf>
    <xf numFmtId="0" fontId="53" fillId="0" borderId="0" xfId="13" applyFont="1" applyFill="1" applyBorder="1" applyAlignment="1" applyProtection="1">
      <alignment horizontal="center"/>
    </xf>
    <xf numFmtId="0" fontId="14" fillId="0" borderId="0" xfId="13" applyAlignment="1">
      <alignment horizontal="center"/>
    </xf>
    <xf numFmtId="0" fontId="53" fillId="0" borderId="2" xfId="13" applyFont="1" applyFill="1" applyBorder="1" applyAlignment="1" applyProtection="1">
      <alignment horizontal="center"/>
    </xf>
    <xf numFmtId="0" fontId="23" fillId="4" borderId="7" xfId="13" applyFont="1" applyFill="1" applyBorder="1" applyAlignment="1" applyProtection="1">
      <alignment horizontal="left" vertical="center"/>
      <protection locked="0"/>
    </xf>
    <xf numFmtId="0" fontId="60" fillId="4" borderId="7" xfId="16" applyFont="1" applyFill="1" applyBorder="1" applyAlignment="1" applyProtection="1">
      <alignment horizontal="left" vertical="center"/>
      <protection locked="0"/>
    </xf>
    <xf numFmtId="0" fontId="26" fillId="0" borderId="7" xfId="13" applyFont="1" applyBorder="1" applyAlignment="1">
      <alignment horizontal="left" vertical="center"/>
    </xf>
    <xf numFmtId="0" fontId="23" fillId="4" borderId="7" xfId="13" applyFont="1" applyFill="1" applyBorder="1" applyAlignment="1" applyProtection="1">
      <alignment horizontal="center" vertical="center"/>
      <protection locked="0"/>
    </xf>
    <xf numFmtId="14" fontId="23" fillId="4" borderId="7" xfId="13" applyNumberFormat="1" applyFont="1" applyFill="1" applyBorder="1" applyAlignment="1" applyProtection="1">
      <alignment horizontal="center" vertical="center"/>
      <protection locked="0"/>
    </xf>
    <xf numFmtId="0" fontId="23" fillId="0" borderId="7" xfId="13" applyFont="1" applyFill="1" applyBorder="1" applyAlignment="1" applyProtection="1">
      <alignment horizontal="center"/>
      <protection locked="0"/>
    </xf>
    <xf numFmtId="0" fontId="23" fillId="0" borderId="7" xfId="13" applyFont="1" applyFill="1" applyBorder="1" applyAlignment="1" applyProtection="1"/>
    <xf numFmtId="0" fontId="0" fillId="0" borderId="7" xfId="0" applyBorder="1" applyAlignment="1"/>
    <xf numFmtId="0" fontId="56" fillId="0" borderId="2" xfId="13" applyFont="1" applyFill="1" applyBorder="1" applyAlignment="1" applyProtection="1">
      <alignment horizontal="center" vertical="top"/>
    </xf>
    <xf numFmtId="0" fontId="57" fillId="0" borderId="2" xfId="0" applyFont="1" applyBorder="1" applyAlignment="1">
      <alignment horizontal="center" vertical="top"/>
    </xf>
    <xf numFmtId="0" fontId="56" fillId="0" borderId="2" xfId="13" applyFont="1" applyFill="1" applyBorder="1" applyAlignment="1" applyProtection="1">
      <alignment horizontal="center" vertical="top"/>
      <protection locked="0"/>
    </xf>
    <xf numFmtId="0" fontId="53" fillId="0" borderId="7" xfId="13" applyFont="1" applyFill="1" applyBorder="1" applyAlignment="1" applyProtection="1">
      <alignment horizontal="center" vertical="top"/>
    </xf>
    <xf numFmtId="0" fontId="53" fillId="0" borderId="0" xfId="13" applyFont="1" applyFill="1" applyBorder="1" applyAlignment="1" applyProtection="1">
      <alignment horizontal="center" vertical="justify"/>
    </xf>
    <xf numFmtId="0" fontId="23" fillId="0" borderId="7" xfId="13" applyFont="1" applyFill="1" applyBorder="1" applyAlignment="1" applyProtection="1">
      <alignment horizontal="center" vertical="center"/>
      <protection locked="0"/>
    </xf>
    <xf numFmtId="0" fontId="50" fillId="0" borderId="0" xfId="13" applyFont="1" applyBorder="1" applyAlignment="1">
      <alignment horizontal="center" vertical="center" wrapText="1"/>
    </xf>
    <xf numFmtId="0" fontId="0" fillId="0" borderId="0" xfId="0" applyAlignment="1"/>
    <xf numFmtId="0" fontId="48" fillId="0" borderId="0" xfId="13" applyFont="1" applyFill="1" applyBorder="1" applyAlignment="1" applyProtection="1">
      <alignment horizontal="left" wrapText="1"/>
    </xf>
    <xf numFmtId="0" fontId="46" fillId="0" borderId="0" xfId="13" applyFont="1" applyFill="1" applyBorder="1" applyAlignment="1" applyProtection="1">
      <alignment horizontal="left" wrapText="1"/>
    </xf>
    <xf numFmtId="0" fontId="53" fillId="0" borderId="0" xfId="13" applyFont="1" applyFill="1" applyBorder="1" applyAlignment="1" applyProtection="1">
      <alignment horizontal="center" vertical="center"/>
    </xf>
    <xf numFmtId="0" fontId="18" fillId="0" borderId="0" xfId="13" applyFont="1" applyFill="1" applyBorder="1" applyAlignment="1" applyProtection="1">
      <alignment horizontal="center"/>
    </xf>
    <xf numFmtId="0" fontId="18" fillId="0" borderId="7" xfId="13" applyFont="1" applyFill="1" applyBorder="1" applyAlignment="1" applyProtection="1">
      <alignment horizontal="center"/>
    </xf>
    <xf numFmtId="0" fontId="18" fillId="0" borderId="7" xfId="13" applyFont="1" applyFill="1" applyBorder="1" applyAlignment="1" applyProtection="1">
      <alignment horizontal="center" vertical="center"/>
    </xf>
    <xf numFmtId="0" fontId="48" fillId="4" borderId="1" xfId="13" applyFont="1" applyFill="1" applyBorder="1" applyAlignment="1" applyProtection="1">
      <alignment horizontal="left" vertical="center" wrapText="1"/>
    </xf>
    <xf numFmtId="0" fontId="48" fillId="4" borderId="8" xfId="13" applyFont="1" applyFill="1" applyBorder="1" applyAlignment="1" applyProtection="1">
      <alignment horizontal="left" vertical="center" wrapText="1"/>
    </xf>
    <xf numFmtId="0" fontId="48" fillId="4" borderId="9" xfId="13" applyFont="1" applyFill="1" applyBorder="1" applyAlignment="1" applyProtection="1">
      <alignment horizontal="left" vertical="center" wrapText="1"/>
    </xf>
    <xf numFmtId="0" fontId="48" fillId="4" borderId="3" xfId="13" applyFont="1" applyFill="1" applyBorder="1" applyAlignment="1" applyProtection="1">
      <alignment horizontal="left" vertical="center" wrapText="1"/>
    </xf>
    <xf numFmtId="0" fontId="23" fillId="4" borderId="9" xfId="13" applyFont="1" applyFill="1" applyBorder="1" applyAlignment="1" applyProtection="1">
      <alignment horizontal="center"/>
    </xf>
    <xf numFmtId="0" fontId="8" fillId="0" borderId="0" xfId="13" applyFont="1" applyFill="1" applyBorder="1" applyAlignment="1" applyProtection="1">
      <alignment horizontal="right" wrapText="1"/>
    </xf>
    <xf numFmtId="49" fontId="23" fillId="0" borderId="7" xfId="13" applyNumberFormat="1" applyFont="1" applyFill="1" applyBorder="1" applyAlignment="1" applyProtection="1">
      <alignment horizontal="center"/>
      <protection locked="0"/>
    </xf>
    <xf numFmtId="0" fontId="23" fillId="0" borderId="7" xfId="13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right"/>
      <protection hidden="1"/>
    </xf>
    <xf numFmtId="0" fontId="92" fillId="0" borderId="0" xfId="0" applyFont="1" applyBorder="1" applyAlignment="1" applyProtection="1">
      <alignment horizontal="center"/>
      <protection hidden="1"/>
    </xf>
    <xf numFmtId="0" fontId="93" fillId="0" borderId="0" xfId="0" applyFont="1" applyBorder="1" applyAlignment="1" applyProtection="1">
      <alignment horizontal="center"/>
      <protection hidden="1"/>
    </xf>
    <xf numFmtId="0" fontId="92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4" fontId="13" fillId="0" borderId="0" xfId="0" applyNumberFormat="1" applyFont="1" applyAlignment="1" applyProtection="1">
      <alignment horizontal="left" vertical="center" wrapText="1"/>
      <protection hidden="1"/>
    </xf>
    <xf numFmtId="0" fontId="96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12" fillId="0" borderId="0" xfId="0" applyNumberFormat="1" applyFont="1" applyFill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top"/>
      <protection hidden="1"/>
    </xf>
    <xf numFmtId="0" fontId="12" fillId="0" borderId="0" xfId="0" applyFont="1" applyAlignment="1" applyProtection="1">
      <alignment horizontal="left" wrapText="1"/>
      <protection hidden="1"/>
    </xf>
  </cellXfs>
  <cellStyles count="33">
    <cellStyle name="Normal_Аnketa СТР" xfId="17"/>
    <cellStyle name="Абзац" xfId="9"/>
    <cellStyle name="Блок" xfId="14"/>
    <cellStyle name="Гиперссылка" xfId="12" builtinId="8"/>
    <cellStyle name="Гиперссылка 2" xfId="16"/>
    <cellStyle name="Гиперссылка 4" xfId="32"/>
    <cellStyle name="Дата" xfId="15"/>
    <cellStyle name="ЗаголовокБланка" xfId="10"/>
    <cellStyle name="ЗаголовокТаблицы" xfId="7"/>
    <cellStyle name="ЗвездочкаСноски" xfId="3"/>
    <cellStyle name="Обычный" xfId="0" builtinId="0"/>
    <cellStyle name="Обычный 2" xfId="1"/>
    <cellStyle name="Обычный 2 2" xfId="22"/>
    <cellStyle name="Обычный 3" xfId="13"/>
    <cellStyle name="Обычный 4" xfId="20"/>
    <cellStyle name="Обычный 4 2" xfId="29"/>
    <cellStyle name="Обычный 5" xfId="27"/>
    <cellStyle name="Обычный 6" xfId="28"/>
    <cellStyle name="Обычный 8" xfId="30"/>
    <cellStyle name="Обычный 8 2" xfId="31"/>
    <cellStyle name="Подпись" xfId="6"/>
    <cellStyle name="Подстрочный" xfId="4"/>
    <cellStyle name="ПоляЗаполнения" xfId="5"/>
    <cellStyle name="Приложение" xfId="11"/>
    <cellStyle name="Процентный" xfId="19" builtinId="5"/>
    <cellStyle name="Процентный 2" xfId="23"/>
    <cellStyle name="Табличный" xfId="8"/>
    <cellStyle name="ТекстСноски" xfId="2"/>
    <cellStyle name="Финансовый" xfId="18" builtinId="3"/>
    <cellStyle name="Финансовый 2" xfId="21"/>
    <cellStyle name="Финансовый 3" xfId="24"/>
    <cellStyle name="Финансовый 4" xfId="25"/>
    <cellStyle name="Финансовый 5" xfId="26"/>
  </cellStyles>
  <dxfs count="187">
    <dxf>
      <border>
        <left/>
        <righ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border>
        <left/>
        <right/>
        <top/>
        <bottom/>
        <vertical/>
        <horizontal/>
      </border>
    </dxf>
    <dxf>
      <fill>
        <patternFill>
          <bgColor rgb="FFFF9999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9999"/>
        </patternFill>
      </fill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  <color rgb="FFC5D9F1"/>
      <color rgb="FFFFFFCC"/>
      <color rgb="FF969696"/>
      <color rgb="FFB2B2B2"/>
      <color rgb="FF80808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37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76200</xdr:rowOff>
        </xdr:from>
        <xdr:to>
          <xdr:col>3</xdr:col>
          <xdr:colOff>381000</xdr:colOff>
          <xdr:row>7</xdr:row>
          <xdr:rowOff>295275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4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381000</xdr:colOff>
          <xdr:row>10</xdr:row>
          <xdr:rowOff>219075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4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104775</xdr:rowOff>
        </xdr:from>
        <xdr:to>
          <xdr:col>3</xdr:col>
          <xdr:colOff>361950</xdr:colOff>
          <xdr:row>19</xdr:row>
          <xdr:rowOff>323850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04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552450</xdr:rowOff>
        </xdr:from>
        <xdr:to>
          <xdr:col>3</xdr:col>
          <xdr:colOff>361950</xdr:colOff>
          <xdr:row>21</xdr:row>
          <xdr:rowOff>295275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4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4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4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95250</xdr:rowOff>
        </xdr:from>
        <xdr:to>
          <xdr:col>3</xdr:col>
          <xdr:colOff>361950</xdr:colOff>
          <xdr:row>20</xdr:row>
          <xdr:rowOff>314325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04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85725</xdr:rowOff>
        </xdr:from>
        <xdr:to>
          <xdr:col>3</xdr:col>
          <xdr:colOff>381000</xdr:colOff>
          <xdr:row>13</xdr:row>
          <xdr:rowOff>304800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04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381000</xdr:colOff>
          <xdr:row>8</xdr:row>
          <xdr:rowOff>228600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04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85725</xdr:rowOff>
        </xdr:from>
        <xdr:to>
          <xdr:col>3</xdr:col>
          <xdr:colOff>381000</xdr:colOff>
          <xdr:row>11</xdr:row>
          <xdr:rowOff>304800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04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85725</xdr:rowOff>
        </xdr:from>
        <xdr:to>
          <xdr:col>3</xdr:col>
          <xdr:colOff>381000</xdr:colOff>
          <xdr:row>12</xdr:row>
          <xdr:rowOff>304800</xdr:rowOff>
        </xdr:to>
        <xdr:sp macro="" textlink="">
          <xdr:nvSpPr>
            <xdr:cNvPr id="51211" name="Check Box 11" hidden="1">
              <a:extLst>
                <a:ext uri="{63B3BB69-23CF-44E3-9099-C40C66FF867C}">
                  <a14:compatExt spid="_x0000_s51211"/>
                </a:ext>
                <a:ext uri="{FF2B5EF4-FFF2-40B4-BE49-F238E27FC236}">
                  <a16:creationId xmlns:a16="http://schemas.microsoft.com/office/drawing/2014/main" id="{00000000-0008-0000-0400-00000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2</xdr:row>
      <xdr:rowOff>209550</xdr:rowOff>
    </xdr:from>
    <xdr:to>
      <xdr:col>1</xdr:col>
      <xdr:colOff>1164981</xdr:colOff>
      <xdr:row>3</xdr:row>
      <xdr:rowOff>209242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0"/>
          <a:ext cx="1203081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381000</xdr:colOff>
          <xdr:row>9</xdr:row>
          <xdr:rowOff>219075</xdr:rowOff>
        </xdr:to>
        <xdr:sp macro="" textlink="">
          <xdr:nvSpPr>
            <xdr:cNvPr id="51212" name="Check Box 12" hidden="1">
              <a:extLst>
                <a:ext uri="{63B3BB69-23CF-44E3-9099-C40C66FF867C}">
                  <a14:compatExt spid="_x0000_s51212"/>
                </a:ext>
                <a:ext uri="{FF2B5EF4-FFF2-40B4-BE49-F238E27FC236}">
                  <a16:creationId xmlns:a16="http://schemas.microsoft.com/office/drawing/2014/main" id="{00000000-0008-0000-0400-00000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85725</xdr:rowOff>
        </xdr:from>
        <xdr:to>
          <xdr:col>3</xdr:col>
          <xdr:colOff>381000</xdr:colOff>
          <xdr:row>14</xdr:row>
          <xdr:rowOff>304800</xdr:rowOff>
        </xdr:to>
        <xdr:sp macro="" textlink="">
          <xdr:nvSpPr>
            <xdr:cNvPr id="51213" name="Check Box 13" hidden="1">
              <a:extLst>
                <a:ext uri="{63B3BB69-23CF-44E3-9099-C40C66FF867C}">
                  <a14:compatExt spid="_x0000_s51213"/>
                </a:ext>
                <a:ext uri="{FF2B5EF4-FFF2-40B4-BE49-F238E27FC236}">
                  <a16:creationId xmlns:a16="http://schemas.microsoft.com/office/drawing/2014/main" id="{00000000-0008-0000-0400-00000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76200</xdr:rowOff>
        </xdr:from>
        <xdr:to>
          <xdr:col>3</xdr:col>
          <xdr:colOff>381000</xdr:colOff>
          <xdr:row>7</xdr:row>
          <xdr:rowOff>295275</xdr:rowOff>
        </xdr:to>
        <xdr:sp macro="" textlink="">
          <xdr:nvSpPr>
            <xdr:cNvPr id="51214" name="Check Box 14" hidden="1">
              <a:extLst>
                <a:ext uri="{63B3BB69-23CF-44E3-9099-C40C66FF867C}">
                  <a14:compatExt spid="_x0000_s51214"/>
                </a:ext>
                <a:ext uri="{FF2B5EF4-FFF2-40B4-BE49-F238E27FC236}">
                  <a16:creationId xmlns:a16="http://schemas.microsoft.com/office/drawing/2014/main" id="{00000000-0008-0000-0400-00000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381000</xdr:colOff>
          <xdr:row>10</xdr:row>
          <xdr:rowOff>219075</xdr:rowOff>
        </xdr:to>
        <xdr:sp macro="" textlink="">
          <xdr:nvSpPr>
            <xdr:cNvPr id="51215" name="Check Box 15" hidden="1">
              <a:extLst>
                <a:ext uri="{63B3BB69-23CF-44E3-9099-C40C66FF867C}">
                  <a14:compatExt spid="_x0000_s51215"/>
                </a:ext>
                <a:ext uri="{FF2B5EF4-FFF2-40B4-BE49-F238E27FC236}">
                  <a16:creationId xmlns:a16="http://schemas.microsoft.com/office/drawing/2014/main" id="{00000000-0008-0000-0400-00000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104775</xdr:rowOff>
        </xdr:from>
        <xdr:to>
          <xdr:col>3</xdr:col>
          <xdr:colOff>361950</xdr:colOff>
          <xdr:row>19</xdr:row>
          <xdr:rowOff>323850</xdr:rowOff>
        </xdr:to>
        <xdr:sp macro="" textlink="">
          <xdr:nvSpPr>
            <xdr:cNvPr id="51216" name="Check Box 16" hidden="1">
              <a:extLst>
                <a:ext uri="{63B3BB69-23CF-44E3-9099-C40C66FF867C}">
                  <a14:compatExt spid="_x0000_s51216"/>
                </a:ext>
                <a:ext uri="{FF2B5EF4-FFF2-40B4-BE49-F238E27FC236}">
                  <a16:creationId xmlns:a16="http://schemas.microsoft.com/office/drawing/2014/main" id="{00000000-0008-0000-0400-00001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552450</xdr:rowOff>
        </xdr:from>
        <xdr:to>
          <xdr:col>3</xdr:col>
          <xdr:colOff>361950</xdr:colOff>
          <xdr:row>21</xdr:row>
          <xdr:rowOff>314325</xdr:rowOff>
        </xdr:to>
        <xdr:sp macro="" textlink="">
          <xdr:nvSpPr>
            <xdr:cNvPr id="51217" name="Check Box 17" hidden="1">
              <a:extLst>
                <a:ext uri="{63B3BB69-23CF-44E3-9099-C40C66FF867C}">
                  <a14:compatExt spid="_x0000_s51217"/>
                </a:ext>
                <a:ext uri="{FF2B5EF4-FFF2-40B4-BE49-F238E27FC236}">
                  <a16:creationId xmlns:a16="http://schemas.microsoft.com/office/drawing/2014/main" id="{00000000-0008-0000-0400-00001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04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51219" name="Check Box 19" hidden="1">
              <a:extLst>
                <a:ext uri="{63B3BB69-23CF-44E3-9099-C40C66FF867C}">
                  <a14:compatExt spid="_x0000_s51219"/>
                </a:ext>
                <a:ext uri="{FF2B5EF4-FFF2-40B4-BE49-F238E27FC236}">
                  <a16:creationId xmlns:a16="http://schemas.microsoft.com/office/drawing/2014/main" id="{00000000-0008-0000-0400-00001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95250</xdr:rowOff>
        </xdr:from>
        <xdr:to>
          <xdr:col>3</xdr:col>
          <xdr:colOff>361950</xdr:colOff>
          <xdr:row>20</xdr:row>
          <xdr:rowOff>314325</xdr:rowOff>
        </xdr:to>
        <xdr:sp macro="" textlink="">
          <xdr:nvSpPr>
            <xdr:cNvPr id="51220" name="Check Box 20" hidden="1">
              <a:extLst>
                <a:ext uri="{63B3BB69-23CF-44E3-9099-C40C66FF867C}">
                  <a14:compatExt spid="_x0000_s51220"/>
                </a:ext>
                <a:ext uri="{FF2B5EF4-FFF2-40B4-BE49-F238E27FC236}">
                  <a16:creationId xmlns:a16="http://schemas.microsoft.com/office/drawing/2014/main" id="{00000000-0008-0000-0400-00001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85725</xdr:rowOff>
        </xdr:from>
        <xdr:to>
          <xdr:col>3</xdr:col>
          <xdr:colOff>381000</xdr:colOff>
          <xdr:row>13</xdr:row>
          <xdr:rowOff>304800</xdr:rowOff>
        </xdr:to>
        <xdr:sp macro="" textlink="">
          <xdr:nvSpPr>
            <xdr:cNvPr id="51221" name="Check Box 21" hidden="1">
              <a:extLst>
                <a:ext uri="{63B3BB69-23CF-44E3-9099-C40C66FF867C}">
                  <a14:compatExt spid="_x0000_s51221"/>
                </a:ext>
                <a:ext uri="{FF2B5EF4-FFF2-40B4-BE49-F238E27FC236}">
                  <a16:creationId xmlns:a16="http://schemas.microsoft.com/office/drawing/2014/main" id="{00000000-0008-0000-0400-00001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381000</xdr:colOff>
          <xdr:row>8</xdr:row>
          <xdr:rowOff>228600</xdr:rowOff>
        </xdr:to>
        <xdr:sp macro="" textlink="">
          <xdr:nvSpPr>
            <xdr:cNvPr id="51222" name="Check Box 22" hidden="1">
              <a:extLst>
                <a:ext uri="{63B3BB69-23CF-44E3-9099-C40C66FF867C}">
                  <a14:compatExt spid="_x0000_s51222"/>
                </a:ext>
                <a:ext uri="{FF2B5EF4-FFF2-40B4-BE49-F238E27FC236}">
                  <a16:creationId xmlns:a16="http://schemas.microsoft.com/office/drawing/2014/main" id="{00000000-0008-0000-0400-00001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85725</xdr:rowOff>
        </xdr:from>
        <xdr:to>
          <xdr:col>3</xdr:col>
          <xdr:colOff>381000</xdr:colOff>
          <xdr:row>11</xdr:row>
          <xdr:rowOff>304800</xdr:rowOff>
        </xdr:to>
        <xdr:sp macro="" textlink="">
          <xdr:nvSpPr>
            <xdr:cNvPr id="51223" name="Check Box 23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04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85725</xdr:rowOff>
        </xdr:from>
        <xdr:to>
          <xdr:col>3</xdr:col>
          <xdr:colOff>381000</xdr:colOff>
          <xdr:row>12</xdr:row>
          <xdr:rowOff>304800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04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381000</xdr:colOff>
          <xdr:row>9</xdr:row>
          <xdr:rowOff>219075</xdr:rowOff>
        </xdr:to>
        <xdr:sp macro="" textlink="">
          <xdr:nvSpPr>
            <xdr:cNvPr id="51225" name="Check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04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85725</xdr:rowOff>
        </xdr:from>
        <xdr:to>
          <xdr:col>3</xdr:col>
          <xdr:colOff>381000</xdr:colOff>
          <xdr:row>14</xdr:row>
          <xdr:rowOff>304800</xdr:rowOff>
        </xdr:to>
        <xdr:sp macro="" textlink="">
          <xdr:nvSpPr>
            <xdr:cNvPr id="51226" name="Check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04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76200</xdr:rowOff>
        </xdr:from>
        <xdr:to>
          <xdr:col>3</xdr:col>
          <xdr:colOff>381000</xdr:colOff>
          <xdr:row>7</xdr:row>
          <xdr:rowOff>295275</xdr:rowOff>
        </xdr:to>
        <xdr:sp macro="" textlink="">
          <xdr:nvSpPr>
            <xdr:cNvPr id="51227" name="Check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04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0</xdr:rowOff>
        </xdr:from>
        <xdr:to>
          <xdr:col>3</xdr:col>
          <xdr:colOff>381000</xdr:colOff>
          <xdr:row>11</xdr:row>
          <xdr:rowOff>219075</xdr:rowOff>
        </xdr:to>
        <xdr:sp macro="" textlink="">
          <xdr:nvSpPr>
            <xdr:cNvPr id="51228" name="Check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04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104775</xdr:rowOff>
        </xdr:from>
        <xdr:to>
          <xdr:col>3</xdr:col>
          <xdr:colOff>361950</xdr:colOff>
          <xdr:row>19</xdr:row>
          <xdr:rowOff>323850</xdr:rowOff>
        </xdr:to>
        <xdr:sp macro="" textlink="">
          <xdr:nvSpPr>
            <xdr:cNvPr id="51229" name="Check Box 29" hidden="1">
              <a:extLst>
                <a:ext uri="{63B3BB69-23CF-44E3-9099-C40C66FF867C}">
                  <a14:compatExt spid="_x0000_s51229"/>
                </a:ext>
                <a:ext uri="{FF2B5EF4-FFF2-40B4-BE49-F238E27FC236}">
                  <a16:creationId xmlns:a16="http://schemas.microsoft.com/office/drawing/2014/main" id="{00000000-0008-0000-0400-00001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552450</xdr:rowOff>
        </xdr:from>
        <xdr:to>
          <xdr:col>3</xdr:col>
          <xdr:colOff>361950</xdr:colOff>
          <xdr:row>21</xdr:row>
          <xdr:rowOff>295275</xdr:rowOff>
        </xdr:to>
        <xdr:sp macro="" textlink="">
          <xdr:nvSpPr>
            <xdr:cNvPr id="51230" name="Check Box 30" hidden="1">
              <a:extLst>
                <a:ext uri="{63B3BB69-23CF-44E3-9099-C40C66FF867C}">
                  <a14:compatExt spid="_x0000_s51230"/>
                </a:ext>
                <a:ext uri="{FF2B5EF4-FFF2-40B4-BE49-F238E27FC236}">
                  <a16:creationId xmlns:a16="http://schemas.microsoft.com/office/drawing/2014/main" id="{00000000-0008-0000-0400-00001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51231" name="Check Box 31" hidden="1">
              <a:extLst>
                <a:ext uri="{63B3BB69-23CF-44E3-9099-C40C66FF867C}">
                  <a14:compatExt spid="_x0000_s51231"/>
                </a:ext>
                <a:ext uri="{FF2B5EF4-FFF2-40B4-BE49-F238E27FC236}">
                  <a16:creationId xmlns:a16="http://schemas.microsoft.com/office/drawing/2014/main" id="{00000000-0008-0000-0400-00001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51232" name="Check Box 32" hidden="1">
              <a:extLst>
                <a:ext uri="{63B3BB69-23CF-44E3-9099-C40C66FF867C}">
                  <a14:compatExt spid="_x0000_s51232"/>
                </a:ext>
                <a:ext uri="{FF2B5EF4-FFF2-40B4-BE49-F238E27FC236}">
                  <a16:creationId xmlns:a16="http://schemas.microsoft.com/office/drawing/2014/main" id="{00000000-0008-0000-0400-00002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95250</xdr:rowOff>
        </xdr:from>
        <xdr:to>
          <xdr:col>3</xdr:col>
          <xdr:colOff>361950</xdr:colOff>
          <xdr:row>20</xdr:row>
          <xdr:rowOff>314325</xdr:rowOff>
        </xdr:to>
        <xdr:sp macro="" textlink="">
          <xdr:nvSpPr>
            <xdr:cNvPr id="51233" name="Check Box 33" hidden="1">
              <a:extLst>
                <a:ext uri="{63B3BB69-23CF-44E3-9099-C40C66FF867C}">
                  <a14:compatExt spid="_x0000_s51233"/>
                </a:ext>
                <a:ext uri="{FF2B5EF4-FFF2-40B4-BE49-F238E27FC236}">
                  <a16:creationId xmlns:a16="http://schemas.microsoft.com/office/drawing/2014/main" id="{00000000-0008-0000-0400-00002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85725</xdr:rowOff>
        </xdr:from>
        <xdr:to>
          <xdr:col>3</xdr:col>
          <xdr:colOff>381000</xdr:colOff>
          <xdr:row>14</xdr:row>
          <xdr:rowOff>304800</xdr:rowOff>
        </xdr:to>
        <xdr:sp macro="" textlink="">
          <xdr:nvSpPr>
            <xdr:cNvPr id="51234" name="Check Box 34" hidden="1">
              <a:extLst>
                <a:ext uri="{63B3BB69-23CF-44E3-9099-C40C66FF867C}">
                  <a14:compatExt spid="_x0000_s51234"/>
                </a:ext>
                <a:ext uri="{FF2B5EF4-FFF2-40B4-BE49-F238E27FC236}">
                  <a16:creationId xmlns:a16="http://schemas.microsoft.com/office/drawing/2014/main" id="{00000000-0008-0000-0400-00002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381000</xdr:colOff>
          <xdr:row>8</xdr:row>
          <xdr:rowOff>228600</xdr:rowOff>
        </xdr:to>
        <xdr:sp macro="" textlink="">
          <xdr:nvSpPr>
            <xdr:cNvPr id="51235" name="Check Box 35" hidden="1">
              <a:extLst>
                <a:ext uri="{63B3BB69-23CF-44E3-9099-C40C66FF867C}">
                  <a14:compatExt spid="_x0000_s51235"/>
                </a:ext>
                <a:ext uri="{FF2B5EF4-FFF2-40B4-BE49-F238E27FC236}">
                  <a16:creationId xmlns:a16="http://schemas.microsoft.com/office/drawing/2014/main" id="{00000000-0008-0000-0400-00002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85725</xdr:rowOff>
        </xdr:from>
        <xdr:to>
          <xdr:col>3</xdr:col>
          <xdr:colOff>381000</xdr:colOff>
          <xdr:row>12</xdr:row>
          <xdr:rowOff>304800</xdr:rowOff>
        </xdr:to>
        <xdr:sp macro="" textlink="">
          <xdr:nvSpPr>
            <xdr:cNvPr id="51236" name="Check Box 36" hidden="1">
              <a:extLst>
                <a:ext uri="{63B3BB69-23CF-44E3-9099-C40C66FF867C}">
                  <a14:compatExt spid="_x0000_s51236"/>
                </a:ext>
                <a:ext uri="{FF2B5EF4-FFF2-40B4-BE49-F238E27FC236}">
                  <a16:creationId xmlns:a16="http://schemas.microsoft.com/office/drawing/2014/main" id="{00000000-0008-0000-0400-00002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85725</xdr:rowOff>
        </xdr:from>
        <xdr:to>
          <xdr:col>3</xdr:col>
          <xdr:colOff>381000</xdr:colOff>
          <xdr:row>13</xdr:row>
          <xdr:rowOff>304800</xdr:rowOff>
        </xdr:to>
        <xdr:sp macro="" textlink="">
          <xdr:nvSpPr>
            <xdr:cNvPr id="51237" name="Check Box 37" hidden="1">
              <a:extLst>
                <a:ext uri="{63B3BB69-23CF-44E3-9099-C40C66FF867C}">
                  <a14:compatExt spid="_x0000_s51237"/>
                </a:ext>
                <a:ext uri="{FF2B5EF4-FFF2-40B4-BE49-F238E27FC236}">
                  <a16:creationId xmlns:a16="http://schemas.microsoft.com/office/drawing/2014/main" id="{00000000-0008-0000-0400-00002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381000</xdr:colOff>
          <xdr:row>10</xdr:row>
          <xdr:rowOff>219075</xdr:rowOff>
        </xdr:to>
        <xdr:sp macro="" textlink="">
          <xdr:nvSpPr>
            <xdr:cNvPr id="51238" name="Check Box 38" hidden="1">
              <a:extLst>
                <a:ext uri="{63B3BB69-23CF-44E3-9099-C40C66FF867C}">
                  <a14:compatExt spid="_x0000_s51238"/>
                </a:ext>
                <a:ext uri="{FF2B5EF4-FFF2-40B4-BE49-F238E27FC236}">
                  <a16:creationId xmlns:a16="http://schemas.microsoft.com/office/drawing/2014/main" id="{00000000-0008-0000-0400-00002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85725</xdr:rowOff>
        </xdr:from>
        <xdr:to>
          <xdr:col>3</xdr:col>
          <xdr:colOff>381000</xdr:colOff>
          <xdr:row>16</xdr:row>
          <xdr:rowOff>114300</xdr:rowOff>
        </xdr:to>
        <xdr:sp macro="" textlink="">
          <xdr:nvSpPr>
            <xdr:cNvPr id="51239" name="Check Box 39" hidden="1">
              <a:extLst>
                <a:ext uri="{63B3BB69-23CF-44E3-9099-C40C66FF867C}">
                  <a14:compatExt spid="_x0000_s51239"/>
                </a:ext>
                <a:ext uri="{FF2B5EF4-FFF2-40B4-BE49-F238E27FC236}">
                  <a16:creationId xmlns:a16="http://schemas.microsoft.com/office/drawing/2014/main" id="{00000000-0008-0000-0400-00002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5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5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123825</xdr:rowOff>
        </xdr:from>
        <xdr:to>
          <xdr:col>3</xdr:col>
          <xdr:colOff>371475</xdr:colOff>
          <xdr:row>5</xdr:row>
          <xdr:rowOff>342900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5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</xdr:row>
          <xdr:rowOff>438150</xdr:rowOff>
        </xdr:from>
        <xdr:to>
          <xdr:col>3</xdr:col>
          <xdr:colOff>371475</xdr:colOff>
          <xdr:row>4</xdr:row>
          <xdr:rowOff>371475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05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276225</xdr:colOff>
      <xdr:row>1</xdr:row>
      <xdr:rowOff>171450</xdr:rowOff>
    </xdr:from>
    <xdr:to>
      <xdr:col>1</xdr:col>
      <xdr:colOff>1145931</xdr:colOff>
      <xdr:row>2</xdr:row>
      <xdr:rowOff>171142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81100"/>
          <a:ext cx="1203081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28575</xdr:rowOff>
        </xdr:from>
        <xdr:to>
          <xdr:col>3</xdr:col>
          <xdr:colOff>371475</xdr:colOff>
          <xdr:row>7</xdr:row>
          <xdr:rowOff>247650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05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104775</xdr:rowOff>
        </xdr:from>
        <xdr:to>
          <xdr:col>3</xdr:col>
          <xdr:colOff>361950</xdr:colOff>
          <xdr:row>13</xdr:row>
          <xdr:rowOff>323850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  <a:ext uri="{FF2B5EF4-FFF2-40B4-BE49-F238E27FC236}">
                  <a16:creationId xmlns:a16="http://schemas.microsoft.com/office/drawing/2014/main" id="{00000000-0008-0000-0500-00000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114300</xdr:rowOff>
        </xdr:from>
        <xdr:to>
          <xdr:col>3</xdr:col>
          <xdr:colOff>409575</xdr:colOff>
          <xdr:row>17</xdr:row>
          <xdr:rowOff>38100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  <a:ext uri="{FF2B5EF4-FFF2-40B4-BE49-F238E27FC236}">
                  <a16:creationId xmlns:a16="http://schemas.microsoft.com/office/drawing/2014/main" id="{00000000-0008-0000-0500-00000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95250</xdr:rowOff>
        </xdr:from>
        <xdr:to>
          <xdr:col>3</xdr:col>
          <xdr:colOff>361950</xdr:colOff>
          <xdr:row>14</xdr:row>
          <xdr:rowOff>314325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  <a:ext uri="{FF2B5EF4-FFF2-40B4-BE49-F238E27FC236}">
                  <a16:creationId xmlns:a16="http://schemas.microsoft.com/office/drawing/2014/main" id="{00000000-0008-0000-0500-00000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161925</xdr:rowOff>
        </xdr:from>
        <xdr:to>
          <xdr:col>3</xdr:col>
          <xdr:colOff>371475</xdr:colOff>
          <xdr:row>6</xdr:row>
          <xdr:rowOff>381000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05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85725</xdr:rowOff>
        </xdr:from>
        <xdr:to>
          <xdr:col>3</xdr:col>
          <xdr:colOff>381000</xdr:colOff>
          <xdr:row>9</xdr:row>
          <xdr:rowOff>304800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05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05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05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123825</xdr:rowOff>
        </xdr:from>
        <xdr:to>
          <xdr:col>3</xdr:col>
          <xdr:colOff>371475</xdr:colOff>
          <xdr:row>5</xdr:row>
          <xdr:rowOff>342900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05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</xdr:row>
          <xdr:rowOff>438150</xdr:rowOff>
        </xdr:from>
        <xdr:to>
          <xdr:col>3</xdr:col>
          <xdr:colOff>371475</xdr:colOff>
          <xdr:row>4</xdr:row>
          <xdr:rowOff>371475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05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28575</xdr:rowOff>
        </xdr:from>
        <xdr:to>
          <xdr:col>3</xdr:col>
          <xdr:colOff>371475</xdr:colOff>
          <xdr:row>7</xdr:row>
          <xdr:rowOff>247650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05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104775</xdr:rowOff>
        </xdr:from>
        <xdr:to>
          <xdr:col>3</xdr:col>
          <xdr:colOff>361950</xdr:colOff>
          <xdr:row>13</xdr:row>
          <xdr:rowOff>323850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05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114300</xdr:rowOff>
        </xdr:from>
        <xdr:to>
          <xdr:col>3</xdr:col>
          <xdr:colOff>409575</xdr:colOff>
          <xdr:row>16</xdr:row>
          <xdr:rowOff>0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05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95250</xdr:rowOff>
        </xdr:from>
        <xdr:to>
          <xdr:col>3</xdr:col>
          <xdr:colOff>361950</xdr:colOff>
          <xdr:row>14</xdr:row>
          <xdr:rowOff>314325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05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161925</xdr:rowOff>
        </xdr:from>
        <xdr:to>
          <xdr:col>3</xdr:col>
          <xdr:colOff>371475</xdr:colOff>
          <xdr:row>6</xdr:row>
          <xdr:rowOff>381000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05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85725</xdr:rowOff>
        </xdr:from>
        <xdr:to>
          <xdr:col>3</xdr:col>
          <xdr:colOff>381000</xdr:colOff>
          <xdr:row>9</xdr:row>
          <xdr:rowOff>304800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05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05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0</xdr:rowOff>
        </xdr:from>
        <xdr:to>
          <xdr:col>3</xdr:col>
          <xdr:colOff>371475</xdr:colOff>
          <xdr:row>8</xdr:row>
          <xdr:rowOff>219075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05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123825</xdr:rowOff>
        </xdr:from>
        <xdr:to>
          <xdr:col>3</xdr:col>
          <xdr:colOff>371475</xdr:colOff>
          <xdr:row>5</xdr:row>
          <xdr:rowOff>342900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05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</xdr:row>
          <xdr:rowOff>438150</xdr:rowOff>
        </xdr:from>
        <xdr:to>
          <xdr:col>3</xdr:col>
          <xdr:colOff>371475</xdr:colOff>
          <xdr:row>4</xdr:row>
          <xdr:rowOff>371475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05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28575</xdr:rowOff>
        </xdr:from>
        <xdr:to>
          <xdr:col>3</xdr:col>
          <xdr:colOff>371475</xdr:colOff>
          <xdr:row>7</xdr:row>
          <xdr:rowOff>247650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05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104775</xdr:rowOff>
        </xdr:from>
        <xdr:to>
          <xdr:col>3</xdr:col>
          <xdr:colOff>361950</xdr:colOff>
          <xdr:row>13</xdr:row>
          <xdr:rowOff>133350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05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114300</xdr:rowOff>
        </xdr:from>
        <xdr:to>
          <xdr:col>3</xdr:col>
          <xdr:colOff>409575</xdr:colOff>
          <xdr:row>14</xdr:row>
          <xdr:rowOff>438150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05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95250</xdr:rowOff>
        </xdr:from>
        <xdr:to>
          <xdr:col>3</xdr:col>
          <xdr:colOff>361950</xdr:colOff>
          <xdr:row>13</xdr:row>
          <xdr:rowOff>314325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05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161925</xdr:rowOff>
        </xdr:from>
        <xdr:to>
          <xdr:col>3</xdr:col>
          <xdr:colOff>371475</xdr:colOff>
          <xdr:row>6</xdr:row>
          <xdr:rowOff>381000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05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85725</xdr:rowOff>
        </xdr:from>
        <xdr:to>
          <xdr:col>3</xdr:col>
          <xdr:colOff>381000</xdr:colOff>
          <xdr:row>9</xdr:row>
          <xdr:rowOff>304800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05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133350</xdr:rowOff>
    </xdr:from>
    <xdr:ext cx="1203081" cy="323542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1203081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123825</xdr:rowOff>
        </xdr:from>
        <xdr:to>
          <xdr:col>15</xdr:col>
          <xdr:colOff>381000</xdr:colOff>
          <xdr:row>9</xdr:row>
          <xdr:rowOff>285750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A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</xdr:row>
          <xdr:rowOff>38100</xdr:rowOff>
        </xdr:from>
        <xdr:to>
          <xdr:col>15</xdr:col>
          <xdr:colOff>381000</xdr:colOff>
          <xdr:row>10</xdr:row>
          <xdr:rowOff>200025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A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85725</xdr:rowOff>
        </xdr:from>
        <xdr:to>
          <xdr:col>15</xdr:col>
          <xdr:colOff>381000</xdr:colOff>
          <xdr:row>12</xdr:row>
          <xdr:rowOff>247650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A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85725</xdr:rowOff>
        </xdr:from>
        <xdr:to>
          <xdr:col>15</xdr:col>
          <xdr:colOff>381000</xdr:colOff>
          <xdr:row>12</xdr:row>
          <xdr:rowOff>247650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A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13</xdr:row>
          <xdr:rowOff>171450</xdr:rowOff>
        </xdr:from>
        <xdr:to>
          <xdr:col>15</xdr:col>
          <xdr:colOff>381000</xdr:colOff>
          <xdr:row>13</xdr:row>
          <xdr:rowOff>333375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A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14</xdr:row>
          <xdr:rowOff>171450</xdr:rowOff>
        </xdr:from>
        <xdr:to>
          <xdr:col>15</xdr:col>
          <xdr:colOff>381000</xdr:colOff>
          <xdr:row>14</xdr:row>
          <xdr:rowOff>333375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A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304800</xdr:rowOff>
        </xdr:from>
        <xdr:to>
          <xdr:col>15</xdr:col>
          <xdr:colOff>381000</xdr:colOff>
          <xdr:row>18</xdr:row>
          <xdr:rowOff>466725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A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22</xdr:row>
          <xdr:rowOff>85725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A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23</xdr:row>
          <xdr:rowOff>85725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A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85725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A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35</xdr:row>
          <xdr:rowOff>85725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A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39</xdr:row>
          <xdr:rowOff>85725</xdr:rowOff>
        </xdr:from>
        <xdr:to>
          <xdr:col>15</xdr:col>
          <xdr:colOff>381000</xdr:colOff>
          <xdr:row>39</xdr:row>
          <xdr:rowOff>247650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A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85725</xdr:rowOff>
        </xdr:from>
        <xdr:to>
          <xdr:col>15</xdr:col>
          <xdr:colOff>381000</xdr:colOff>
          <xdr:row>40</xdr:row>
          <xdr:rowOff>247650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A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17</xdr:row>
          <xdr:rowOff>247650</xdr:rowOff>
        </xdr:from>
        <xdr:to>
          <xdr:col>15</xdr:col>
          <xdr:colOff>381000</xdr:colOff>
          <xdr:row>17</xdr:row>
          <xdr:rowOff>409575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A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42</xdr:row>
          <xdr:rowOff>85725</xdr:rowOff>
        </xdr:from>
        <xdr:to>
          <xdr:col>15</xdr:col>
          <xdr:colOff>381000</xdr:colOff>
          <xdr:row>42</xdr:row>
          <xdr:rowOff>247650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A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44</xdr:row>
          <xdr:rowOff>85725</xdr:rowOff>
        </xdr:from>
        <xdr:to>
          <xdr:col>15</xdr:col>
          <xdr:colOff>381000</xdr:colOff>
          <xdr:row>44</xdr:row>
          <xdr:rowOff>247650</xdr:rowOff>
        </xdr:to>
        <xdr:sp macro="" textlink="">
          <xdr:nvSpPr>
            <xdr:cNvPr id="53264" name="Check Box 16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0A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45</xdr:row>
          <xdr:rowOff>85725</xdr:rowOff>
        </xdr:from>
        <xdr:to>
          <xdr:col>15</xdr:col>
          <xdr:colOff>381000</xdr:colOff>
          <xdr:row>45</xdr:row>
          <xdr:rowOff>247650</xdr:rowOff>
        </xdr:to>
        <xdr:sp macro="" textlink="">
          <xdr:nvSpPr>
            <xdr:cNvPr id="53265" name="Check Box 17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0A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68</xdr:row>
          <xdr:rowOff>0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66" name="Check Box 18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A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68</xdr:row>
          <xdr:rowOff>0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A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68</xdr:row>
          <xdr:rowOff>0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68" name="Check Box 20" hidden="1">
              <a:extLst>
                <a:ext uri="{63B3BB69-23CF-44E3-9099-C40C66FF867C}">
                  <a14:compatExt spid="_x0000_s53268"/>
                </a:ext>
                <a:ext uri="{FF2B5EF4-FFF2-40B4-BE49-F238E27FC236}">
                  <a16:creationId xmlns:a16="http://schemas.microsoft.com/office/drawing/2014/main" id="{00000000-0008-0000-0A00-00001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43</xdr:row>
          <xdr:rowOff>85725</xdr:rowOff>
        </xdr:from>
        <xdr:to>
          <xdr:col>15</xdr:col>
          <xdr:colOff>381000</xdr:colOff>
          <xdr:row>43</xdr:row>
          <xdr:rowOff>247650</xdr:rowOff>
        </xdr:to>
        <xdr:sp macro="" textlink="">
          <xdr:nvSpPr>
            <xdr:cNvPr id="53269" name="Check Box 21" hidden="1">
              <a:extLst>
                <a:ext uri="{63B3BB69-23CF-44E3-9099-C40C66FF867C}">
                  <a14:compatExt spid="_x0000_s53269"/>
                </a:ext>
                <a:ext uri="{FF2B5EF4-FFF2-40B4-BE49-F238E27FC236}">
                  <a16:creationId xmlns:a16="http://schemas.microsoft.com/office/drawing/2014/main" id="{00000000-0008-0000-0A00-00001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41</xdr:row>
          <xdr:rowOff>85725</xdr:rowOff>
        </xdr:from>
        <xdr:to>
          <xdr:col>15</xdr:col>
          <xdr:colOff>381000</xdr:colOff>
          <xdr:row>41</xdr:row>
          <xdr:rowOff>247650</xdr:rowOff>
        </xdr:to>
        <xdr:sp macro="" textlink="">
          <xdr:nvSpPr>
            <xdr:cNvPr id="53270" name="Check Box 22" hidden="1">
              <a:extLst>
                <a:ext uri="{63B3BB69-23CF-44E3-9099-C40C66FF867C}">
                  <a14:compatExt spid="_x0000_s53270"/>
                </a:ext>
                <a:ext uri="{FF2B5EF4-FFF2-40B4-BE49-F238E27FC236}">
                  <a16:creationId xmlns:a16="http://schemas.microsoft.com/office/drawing/2014/main" id="{00000000-0008-0000-0A00-00001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</xdr:row>
          <xdr:rowOff>76200</xdr:rowOff>
        </xdr:from>
        <xdr:to>
          <xdr:col>15</xdr:col>
          <xdr:colOff>381000</xdr:colOff>
          <xdr:row>6</xdr:row>
          <xdr:rowOff>238125</xdr:rowOff>
        </xdr:to>
        <xdr:sp macro="" textlink="">
          <xdr:nvSpPr>
            <xdr:cNvPr id="53271" name="Check Box 23" hidden="1">
              <a:extLst>
                <a:ext uri="{63B3BB69-23CF-44E3-9099-C40C66FF867C}">
                  <a14:compatExt spid="_x0000_s53271"/>
                </a:ext>
                <a:ext uri="{FF2B5EF4-FFF2-40B4-BE49-F238E27FC236}">
                  <a16:creationId xmlns:a16="http://schemas.microsoft.com/office/drawing/2014/main" id="{00000000-0008-0000-0A00-00001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</xdr:row>
          <xdr:rowOff>66675</xdr:rowOff>
        </xdr:from>
        <xdr:to>
          <xdr:col>15</xdr:col>
          <xdr:colOff>381000</xdr:colOff>
          <xdr:row>7</xdr:row>
          <xdr:rowOff>228600</xdr:rowOff>
        </xdr:to>
        <xdr:sp macro="" textlink="">
          <xdr:nvSpPr>
            <xdr:cNvPr id="53272" name="Check Box 24" hidden="1">
              <a:extLst>
                <a:ext uri="{63B3BB69-23CF-44E3-9099-C40C66FF867C}">
                  <a14:compatExt spid="_x0000_s53272"/>
                </a:ext>
                <a:ext uri="{FF2B5EF4-FFF2-40B4-BE49-F238E27FC236}">
                  <a16:creationId xmlns:a16="http://schemas.microsoft.com/office/drawing/2014/main" id="{00000000-0008-0000-0A00-00001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</xdr:row>
          <xdr:rowOff>66675</xdr:rowOff>
        </xdr:from>
        <xdr:to>
          <xdr:col>15</xdr:col>
          <xdr:colOff>381000</xdr:colOff>
          <xdr:row>8</xdr:row>
          <xdr:rowOff>228600</xdr:rowOff>
        </xdr:to>
        <xdr:sp macro="" textlink="">
          <xdr:nvSpPr>
            <xdr:cNvPr id="53273" name="Check Box 25" hidden="1">
              <a:extLst>
                <a:ext uri="{63B3BB69-23CF-44E3-9099-C40C66FF867C}">
                  <a14:compatExt spid="_x0000_s53273"/>
                </a:ext>
                <a:ext uri="{FF2B5EF4-FFF2-40B4-BE49-F238E27FC236}">
                  <a16:creationId xmlns:a16="http://schemas.microsoft.com/office/drawing/2014/main" id="{00000000-0008-0000-0A00-00001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11</xdr:row>
          <xdr:rowOff>161925</xdr:rowOff>
        </xdr:from>
        <xdr:to>
          <xdr:col>15</xdr:col>
          <xdr:colOff>381000</xdr:colOff>
          <xdr:row>11</xdr:row>
          <xdr:rowOff>323850</xdr:rowOff>
        </xdr:to>
        <xdr:sp macro="" textlink="">
          <xdr:nvSpPr>
            <xdr:cNvPr id="53274" name="Check Box 26" hidden="1">
              <a:extLst>
                <a:ext uri="{63B3BB69-23CF-44E3-9099-C40C66FF867C}">
                  <a14:compatExt spid="_x0000_s53274"/>
                </a:ext>
                <a:ext uri="{FF2B5EF4-FFF2-40B4-BE49-F238E27FC236}">
                  <a16:creationId xmlns:a16="http://schemas.microsoft.com/office/drawing/2014/main" id="{00000000-0008-0000-0A00-00001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15</xdr:row>
          <xdr:rowOff>123825</xdr:rowOff>
        </xdr:from>
        <xdr:to>
          <xdr:col>15</xdr:col>
          <xdr:colOff>381000</xdr:colOff>
          <xdr:row>15</xdr:row>
          <xdr:rowOff>285750</xdr:rowOff>
        </xdr:to>
        <xdr:sp macro="" textlink="">
          <xdr:nvSpPr>
            <xdr:cNvPr id="53275" name="Check Box 27" hidden="1">
              <a:extLst>
                <a:ext uri="{63B3BB69-23CF-44E3-9099-C40C66FF867C}">
                  <a14:compatExt spid="_x0000_s53275"/>
                </a:ext>
                <a:ext uri="{FF2B5EF4-FFF2-40B4-BE49-F238E27FC236}">
                  <a16:creationId xmlns:a16="http://schemas.microsoft.com/office/drawing/2014/main" id="{00000000-0008-0000-0A00-00001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16</xdr:row>
          <xdr:rowOff>209550</xdr:rowOff>
        </xdr:from>
        <xdr:to>
          <xdr:col>15</xdr:col>
          <xdr:colOff>381000</xdr:colOff>
          <xdr:row>16</xdr:row>
          <xdr:rowOff>371475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0A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20</xdr:row>
          <xdr:rowOff>76200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0A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21</xdr:row>
          <xdr:rowOff>66675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78" name="Check Box 30" hidden="1">
              <a:extLst>
                <a:ext uri="{63B3BB69-23CF-44E3-9099-C40C66FF867C}">
                  <a14:compatExt spid="_x0000_s53278"/>
                </a:ext>
                <a:ext uri="{FF2B5EF4-FFF2-40B4-BE49-F238E27FC236}">
                  <a16:creationId xmlns:a16="http://schemas.microsoft.com/office/drawing/2014/main" id="{00000000-0008-0000-0A00-00001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26</xdr:row>
          <xdr:rowOff>76200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79" name="Check Box 31" hidden="1">
              <a:extLst>
                <a:ext uri="{63B3BB69-23CF-44E3-9099-C40C66FF867C}">
                  <a14:compatExt spid="_x0000_s53279"/>
                </a:ext>
                <a:ext uri="{FF2B5EF4-FFF2-40B4-BE49-F238E27FC236}">
                  <a16:creationId xmlns:a16="http://schemas.microsoft.com/office/drawing/2014/main" id="{00000000-0008-0000-0A00-00001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27</xdr:row>
          <xdr:rowOff>66675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0" name="Check Box 32" hidden="1">
              <a:extLst>
                <a:ext uri="{63B3BB69-23CF-44E3-9099-C40C66FF867C}">
                  <a14:compatExt spid="_x0000_s53280"/>
                </a:ext>
                <a:ext uri="{FF2B5EF4-FFF2-40B4-BE49-F238E27FC236}">
                  <a16:creationId xmlns:a16="http://schemas.microsoft.com/office/drawing/2014/main" id="{00000000-0008-0000-0A00-00002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66675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1" name="Check Box 33" hidden="1">
              <a:extLst>
                <a:ext uri="{63B3BB69-23CF-44E3-9099-C40C66FF867C}">
                  <a14:compatExt spid="_x0000_s53281"/>
                </a:ext>
                <a:ext uri="{FF2B5EF4-FFF2-40B4-BE49-F238E27FC236}">
                  <a16:creationId xmlns:a16="http://schemas.microsoft.com/office/drawing/2014/main" id="{00000000-0008-0000-0A00-00002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66675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2" name="Check Box 34" hidden="1">
              <a:extLst>
                <a:ext uri="{63B3BB69-23CF-44E3-9099-C40C66FF867C}">
                  <a14:compatExt spid="_x0000_s53282"/>
                </a:ext>
                <a:ext uri="{FF2B5EF4-FFF2-40B4-BE49-F238E27FC236}">
                  <a16:creationId xmlns:a16="http://schemas.microsoft.com/office/drawing/2014/main" id="{00000000-0008-0000-0A00-00002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33</xdr:row>
          <xdr:rowOff>85725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3" name="Check Box 35" hidden="1">
              <a:extLst>
                <a:ext uri="{63B3BB69-23CF-44E3-9099-C40C66FF867C}">
                  <a14:compatExt spid="_x0000_s53283"/>
                </a:ext>
                <a:ext uri="{FF2B5EF4-FFF2-40B4-BE49-F238E27FC236}">
                  <a16:creationId xmlns:a16="http://schemas.microsoft.com/office/drawing/2014/main" id="{00000000-0008-0000-0A00-00002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31</xdr:row>
          <xdr:rowOff>76200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4" name="Check Box 36" hidden="1">
              <a:extLst>
                <a:ext uri="{63B3BB69-23CF-44E3-9099-C40C66FF867C}">
                  <a14:compatExt spid="_x0000_s53284"/>
                </a:ext>
                <a:ext uri="{FF2B5EF4-FFF2-40B4-BE49-F238E27FC236}">
                  <a16:creationId xmlns:a16="http://schemas.microsoft.com/office/drawing/2014/main" id="{00000000-0008-0000-0A00-00002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66675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5" name="Check Box 37" hidden="1">
              <a:extLst>
                <a:ext uri="{63B3BB69-23CF-44E3-9099-C40C66FF867C}">
                  <a14:compatExt spid="_x0000_s53285"/>
                </a:ext>
                <a:ext uri="{FF2B5EF4-FFF2-40B4-BE49-F238E27FC236}">
                  <a16:creationId xmlns:a16="http://schemas.microsoft.com/office/drawing/2014/main" id="{00000000-0008-0000-0A00-00002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85725</xdr:rowOff>
        </xdr:from>
        <xdr:to>
          <xdr:col>15</xdr:col>
          <xdr:colOff>381000</xdr:colOff>
          <xdr:row>36</xdr:row>
          <xdr:rowOff>161925</xdr:rowOff>
        </xdr:to>
        <xdr:sp macro="" textlink="">
          <xdr:nvSpPr>
            <xdr:cNvPr id="53286" name="Check Box 38" hidden="1">
              <a:extLst>
                <a:ext uri="{63B3BB69-23CF-44E3-9099-C40C66FF867C}">
                  <a14:compatExt spid="_x0000_s53286"/>
                </a:ext>
                <a:ext uri="{FF2B5EF4-FFF2-40B4-BE49-F238E27FC236}">
                  <a16:creationId xmlns:a16="http://schemas.microsoft.com/office/drawing/2014/main" id="{00000000-0008-0000-0A00-00002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38</xdr:row>
          <xdr:rowOff>76200</xdr:rowOff>
        </xdr:from>
        <xdr:to>
          <xdr:col>15</xdr:col>
          <xdr:colOff>381000</xdr:colOff>
          <xdr:row>38</xdr:row>
          <xdr:rowOff>238125</xdr:rowOff>
        </xdr:to>
        <xdr:sp macro="" textlink="">
          <xdr:nvSpPr>
            <xdr:cNvPr id="53287" name="Check Box 39" hidden="1">
              <a:extLst>
                <a:ext uri="{63B3BB69-23CF-44E3-9099-C40C66FF867C}">
                  <a14:compatExt spid="_x0000_s53287"/>
                </a:ext>
                <a:ext uri="{FF2B5EF4-FFF2-40B4-BE49-F238E27FC236}">
                  <a16:creationId xmlns:a16="http://schemas.microsoft.com/office/drawing/2014/main" id="{00000000-0008-0000-0A00-00002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49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88" name="Check Box 40" hidden="1">
              <a:extLst>
                <a:ext uri="{63B3BB69-23CF-44E3-9099-C40C66FF867C}">
                  <a14:compatExt spid="_x0000_s53288"/>
                </a:ext>
                <a:ext uri="{FF2B5EF4-FFF2-40B4-BE49-F238E27FC236}">
                  <a16:creationId xmlns:a16="http://schemas.microsoft.com/office/drawing/2014/main" id="{00000000-0008-0000-0A00-00002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50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89" name="Check Box 41" hidden="1">
              <a:extLst>
                <a:ext uri="{63B3BB69-23CF-44E3-9099-C40C66FF867C}">
                  <a14:compatExt spid="_x0000_s53289"/>
                </a:ext>
                <a:ext uri="{FF2B5EF4-FFF2-40B4-BE49-F238E27FC236}">
                  <a16:creationId xmlns:a16="http://schemas.microsoft.com/office/drawing/2014/main" id="{00000000-0008-0000-0A00-00002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52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0" name="Check Box 4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0A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54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1" name="Check Box 43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0A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56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2" name="Check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0A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53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3" name="Check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0A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51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4" name="Check Box 46" hidden="1">
              <a:extLst>
                <a:ext uri="{63B3BB69-23CF-44E3-9099-C40C66FF867C}">
                  <a14:compatExt spid="_x0000_s53294"/>
                </a:ext>
                <a:ext uri="{FF2B5EF4-FFF2-40B4-BE49-F238E27FC236}">
                  <a16:creationId xmlns:a16="http://schemas.microsoft.com/office/drawing/2014/main" id="{00000000-0008-0000-0A00-00002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47</xdr:row>
          <xdr:rowOff>76200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5" name="Check Box 47" hidden="1">
              <a:extLst>
                <a:ext uri="{63B3BB69-23CF-44E3-9099-C40C66FF867C}">
                  <a14:compatExt spid="_x0000_s53295"/>
                </a:ext>
                <a:ext uri="{FF2B5EF4-FFF2-40B4-BE49-F238E27FC236}">
                  <a16:creationId xmlns:a16="http://schemas.microsoft.com/office/drawing/2014/main" id="{00000000-0008-0000-0A00-00002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48</xdr:row>
          <xdr:rowOff>66675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6" name="Check Box 48" hidden="1">
              <a:extLst>
                <a:ext uri="{63B3BB69-23CF-44E3-9099-C40C66FF867C}">
                  <a14:compatExt spid="_x0000_s53296"/>
                </a:ext>
                <a:ext uri="{FF2B5EF4-FFF2-40B4-BE49-F238E27FC236}">
                  <a16:creationId xmlns:a16="http://schemas.microsoft.com/office/drawing/2014/main" id="{00000000-0008-0000-0A00-00003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55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7" name="Check Box 49" hidden="1">
              <a:extLst>
                <a:ext uri="{63B3BB69-23CF-44E3-9099-C40C66FF867C}">
                  <a14:compatExt spid="_x0000_s53297"/>
                </a:ext>
                <a:ext uri="{FF2B5EF4-FFF2-40B4-BE49-F238E27FC236}">
                  <a16:creationId xmlns:a16="http://schemas.microsoft.com/office/drawing/2014/main" id="{00000000-0008-0000-0A00-00003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60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8" name="Check Box 50" hidden="1">
              <a:extLst>
                <a:ext uri="{63B3BB69-23CF-44E3-9099-C40C66FF867C}">
                  <a14:compatExt spid="_x0000_s53298"/>
                </a:ext>
                <a:ext uri="{FF2B5EF4-FFF2-40B4-BE49-F238E27FC236}">
                  <a16:creationId xmlns:a16="http://schemas.microsoft.com/office/drawing/2014/main" id="{00000000-0008-0000-0A00-00003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61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299" name="Check Box 51" hidden="1">
              <a:extLst>
                <a:ext uri="{63B3BB69-23CF-44E3-9099-C40C66FF867C}">
                  <a14:compatExt spid="_x0000_s53299"/>
                </a:ext>
                <a:ext uri="{FF2B5EF4-FFF2-40B4-BE49-F238E27FC236}">
                  <a16:creationId xmlns:a16="http://schemas.microsoft.com/office/drawing/2014/main" id="{00000000-0008-0000-0A00-00003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63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0" name="Check Box 52" hidden="1">
              <a:extLst>
                <a:ext uri="{63B3BB69-23CF-44E3-9099-C40C66FF867C}">
                  <a14:compatExt spid="_x0000_s53300"/>
                </a:ext>
                <a:ext uri="{FF2B5EF4-FFF2-40B4-BE49-F238E27FC236}">
                  <a16:creationId xmlns:a16="http://schemas.microsoft.com/office/drawing/2014/main" id="{00000000-0008-0000-0A00-00003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65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1" name="Check Box 53" hidden="1">
              <a:extLst>
                <a:ext uri="{63B3BB69-23CF-44E3-9099-C40C66FF867C}">
                  <a14:compatExt spid="_x0000_s53301"/>
                </a:ext>
                <a:ext uri="{FF2B5EF4-FFF2-40B4-BE49-F238E27FC236}">
                  <a16:creationId xmlns:a16="http://schemas.microsoft.com/office/drawing/2014/main" id="{00000000-0008-0000-0A00-00003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67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2" name="Check Box 54" hidden="1">
              <a:extLst>
                <a:ext uri="{63B3BB69-23CF-44E3-9099-C40C66FF867C}">
                  <a14:compatExt spid="_x0000_s53302"/>
                </a:ext>
                <a:ext uri="{FF2B5EF4-FFF2-40B4-BE49-F238E27FC236}">
                  <a16:creationId xmlns:a16="http://schemas.microsoft.com/office/drawing/2014/main" id="{00000000-0008-0000-0A00-00003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64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3" name="Check Box 55" hidden="1">
              <a:extLst>
                <a:ext uri="{63B3BB69-23CF-44E3-9099-C40C66FF867C}">
                  <a14:compatExt spid="_x0000_s53303"/>
                </a:ext>
                <a:ext uri="{FF2B5EF4-FFF2-40B4-BE49-F238E27FC236}">
                  <a16:creationId xmlns:a16="http://schemas.microsoft.com/office/drawing/2014/main" id="{00000000-0008-0000-0A00-00003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62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4" name="Check Box 56" hidden="1">
              <a:extLst>
                <a:ext uri="{63B3BB69-23CF-44E3-9099-C40C66FF867C}">
                  <a14:compatExt spid="_x0000_s53304"/>
                </a:ext>
                <a:ext uri="{FF2B5EF4-FFF2-40B4-BE49-F238E27FC236}">
                  <a16:creationId xmlns:a16="http://schemas.microsoft.com/office/drawing/2014/main" id="{00000000-0008-0000-0A00-00003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58</xdr:row>
          <xdr:rowOff>76200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5" name="Check Box 57" hidden="1">
              <a:extLst>
                <a:ext uri="{63B3BB69-23CF-44E3-9099-C40C66FF867C}">
                  <a14:compatExt spid="_x0000_s53305"/>
                </a:ext>
                <a:ext uri="{FF2B5EF4-FFF2-40B4-BE49-F238E27FC236}">
                  <a16:creationId xmlns:a16="http://schemas.microsoft.com/office/drawing/2014/main" id="{00000000-0008-0000-0A00-00003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59</xdr:row>
          <xdr:rowOff>66675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6" name="Check Box 58" hidden="1">
              <a:extLst>
                <a:ext uri="{63B3BB69-23CF-44E3-9099-C40C66FF867C}">
                  <a14:compatExt spid="_x0000_s53306"/>
                </a:ext>
                <a:ext uri="{FF2B5EF4-FFF2-40B4-BE49-F238E27FC236}">
                  <a16:creationId xmlns:a16="http://schemas.microsoft.com/office/drawing/2014/main" id="{00000000-0008-0000-0A00-00003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66</xdr:row>
          <xdr:rowOff>85725</xdr:rowOff>
        </xdr:from>
        <xdr:to>
          <xdr:col>15</xdr:col>
          <xdr:colOff>381000</xdr:colOff>
          <xdr:row>68</xdr:row>
          <xdr:rowOff>161925</xdr:rowOff>
        </xdr:to>
        <xdr:sp macro="" textlink="">
          <xdr:nvSpPr>
            <xdr:cNvPr id="53307" name="Check Box 59" hidden="1">
              <a:extLst>
                <a:ext uri="{63B3BB69-23CF-44E3-9099-C40C66FF867C}">
                  <a14:compatExt spid="_x0000_s53307"/>
                </a:ext>
                <a:ext uri="{FF2B5EF4-FFF2-40B4-BE49-F238E27FC236}">
                  <a16:creationId xmlns:a16="http://schemas.microsoft.com/office/drawing/2014/main" id="{00000000-0008-0000-0A00-00003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37</xdr:row>
          <xdr:rowOff>66675</xdr:rowOff>
        </xdr:from>
        <xdr:to>
          <xdr:col>15</xdr:col>
          <xdr:colOff>381000</xdr:colOff>
          <xdr:row>37</xdr:row>
          <xdr:rowOff>228600</xdr:rowOff>
        </xdr:to>
        <xdr:sp macro="" textlink="">
          <xdr:nvSpPr>
            <xdr:cNvPr id="53308" name="Check Box 60" hidden="1">
              <a:extLst>
                <a:ext uri="{63B3BB69-23CF-44E3-9099-C40C66FF867C}">
                  <a14:compatExt spid="_x0000_s53308"/>
                </a:ext>
                <a:ext uri="{FF2B5EF4-FFF2-40B4-BE49-F238E27FC236}">
                  <a16:creationId xmlns:a16="http://schemas.microsoft.com/office/drawing/2014/main" id="{00000000-0008-0000-0A00-00003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76200</xdr:rowOff>
        </xdr:from>
        <xdr:to>
          <xdr:col>3</xdr:col>
          <xdr:colOff>381000</xdr:colOff>
          <xdr:row>6</xdr:row>
          <xdr:rowOff>295275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B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381000</xdr:colOff>
          <xdr:row>9</xdr:row>
          <xdr:rowOff>219075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B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B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B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B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B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B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9525</xdr:rowOff>
        </xdr:from>
        <xdr:to>
          <xdr:col>3</xdr:col>
          <xdr:colOff>361950</xdr:colOff>
          <xdr:row>15</xdr:row>
          <xdr:rowOff>228600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0B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85725</xdr:rowOff>
        </xdr:from>
        <xdr:to>
          <xdr:col>3</xdr:col>
          <xdr:colOff>381000</xdr:colOff>
          <xdr:row>12</xdr:row>
          <xdr:rowOff>304800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0B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85725</xdr:rowOff>
        </xdr:from>
        <xdr:to>
          <xdr:col>3</xdr:col>
          <xdr:colOff>381000</xdr:colOff>
          <xdr:row>10</xdr:row>
          <xdr:rowOff>304800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0B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85725</xdr:rowOff>
        </xdr:from>
        <xdr:to>
          <xdr:col>3</xdr:col>
          <xdr:colOff>381000</xdr:colOff>
          <xdr:row>11</xdr:row>
          <xdr:rowOff>304800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B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85725</xdr:rowOff>
        </xdr:from>
        <xdr:to>
          <xdr:col>3</xdr:col>
          <xdr:colOff>381000</xdr:colOff>
          <xdr:row>16</xdr:row>
          <xdr:rowOff>304800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B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76200</xdr:rowOff>
        </xdr:from>
        <xdr:to>
          <xdr:col>3</xdr:col>
          <xdr:colOff>381000</xdr:colOff>
          <xdr:row>18</xdr:row>
          <xdr:rowOff>295275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0B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1</xdr:row>
      <xdr:rowOff>209550</xdr:rowOff>
    </xdr:from>
    <xdr:to>
      <xdr:col>1</xdr:col>
      <xdr:colOff>1164981</xdr:colOff>
      <xdr:row>2</xdr:row>
      <xdr:rowOff>209242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00050"/>
          <a:ext cx="1203081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76200</xdr:rowOff>
        </xdr:from>
        <xdr:to>
          <xdr:col>3</xdr:col>
          <xdr:colOff>381000</xdr:colOff>
          <xdr:row>7</xdr:row>
          <xdr:rowOff>295275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0B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85725</xdr:rowOff>
        </xdr:from>
        <xdr:to>
          <xdr:col>3</xdr:col>
          <xdr:colOff>381000</xdr:colOff>
          <xdr:row>17</xdr:row>
          <xdr:rowOff>304800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B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76200</xdr:rowOff>
        </xdr:from>
        <xdr:to>
          <xdr:col>3</xdr:col>
          <xdr:colOff>381000</xdr:colOff>
          <xdr:row>21</xdr:row>
          <xdr:rowOff>295275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0B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85725</xdr:rowOff>
        </xdr:from>
        <xdr:to>
          <xdr:col>3</xdr:col>
          <xdr:colOff>381000</xdr:colOff>
          <xdr:row>19</xdr:row>
          <xdr:rowOff>304800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0B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85725</xdr:rowOff>
        </xdr:from>
        <xdr:to>
          <xdr:col>3</xdr:col>
          <xdr:colOff>381000</xdr:colOff>
          <xdr:row>20</xdr:row>
          <xdr:rowOff>304800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0B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76200</xdr:rowOff>
        </xdr:from>
        <xdr:to>
          <xdr:col>3</xdr:col>
          <xdr:colOff>381000</xdr:colOff>
          <xdr:row>6</xdr:row>
          <xdr:rowOff>295275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0B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381000</xdr:colOff>
          <xdr:row>9</xdr:row>
          <xdr:rowOff>219075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00000000-0008-0000-0B00-00001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  <a:ext uri="{FF2B5EF4-FFF2-40B4-BE49-F238E27FC236}">
                  <a16:creationId xmlns:a16="http://schemas.microsoft.com/office/drawing/2014/main" id="{00000000-0008-0000-0B00-00001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  <a:ext uri="{FF2B5EF4-FFF2-40B4-BE49-F238E27FC236}">
                  <a16:creationId xmlns:a16="http://schemas.microsoft.com/office/drawing/2014/main" id="{00000000-0008-0000-0B00-00001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  <a:ext uri="{FF2B5EF4-FFF2-40B4-BE49-F238E27FC236}">
                  <a16:creationId xmlns:a16="http://schemas.microsoft.com/office/drawing/2014/main" id="{00000000-0008-0000-0B00-00001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  <a:ext uri="{FF2B5EF4-FFF2-40B4-BE49-F238E27FC236}">
                  <a16:creationId xmlns:a16="http://schemas.microsoft.com/office/drawing/2014/main" id="{00000000-0008-0000-0B00-00001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  <a:ext uri="{FF2B5EF4-FFF2-40B4-BE49-F238E27FC236}">
                  <a16:creationId xmlns:a16="http://schemas.microsoft.com/office/drawing/2014/main" id="{00000000-0008-0000-0B00-00001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9525</xdr:rowOff>
        </xdr:from>
        <xdr:to>
          <xdr:col>3</xdr:col>
          <xdr:colOff>361950</xdr:colOff>
          <xdr:row>15</xdr:row>
          <xdr:rowOff>228600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  <a:ext uri="{FF2B5EF4-FFF2-40B4-BE49-F238E27FC236}">
                  <a16:creationId xmlns:a16="http://schemas.microsoft.com/office/drawing/2014/main" id="{00000000-0008-0000-0B00-00001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85725</xdr:rowOff>
        </xdr:from>
        <xdr:to>
          <xdr:col>3</xdr:col>
          <xdr:colOff>381000</xdr:colOff>
          <xdr:row>12</xdr:row>
          <xdr:rowOff>304800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  <a:ext uri="{FF2B5EF4-FFF2-40B4-BE49-F238E27FC236}">
                  <a16:creationId xmlns:a16="http://schemas.microsoft.com/office/drawing/2014/main" id="{00000000-0008-0000-0B00-00001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85725</xdr:rowOff>
        </xdr:from>
        <xdr:to>
          <xdr:col>3</xdr:col>
          <xdr:colOff>381000</xdr:colOff>
          <xdr:row>10</xdr:row>
          <xdr:rowOff>304800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  <a:ext uri="{FF2B5EF4-FFF2-40B4-BE49-F238E27FC236}">
                  <a16:creationId xmlns:a16="http://schemas.microsoft.com/office/drawing/2014/main" id="{00000000-0008-0000-0B00-00001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85725</xdr:rowOff>
        </xdr:from>
        <xdr:to>
          <xdr:col>3</xdr:col>
          <xdr:colOff>381000</xdr:colOff>
          <xdr:row>11</xdr:row>
          <xdr:rowOff>304800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  <a:ext uri="{FF2B5EF4-FFF2-40B4-BE49-F238E27FC236}">
                  <a16:creationId xmlns:a16="http://schemas.microsoft.com/office/drawing/2014/main" id="{00000000-0008-0000-0B00-00001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85725</xdr:rowOff>
        </xdr:from>
        <xdr:to>
          <xdr:col>3</xdr:col>
          <xdr:colOff>381000</xdr:colOff>
          <xdr:row>16</xdr:row>
          <xdr:rowOff>304800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  <a:ext uri="{FF2B5EF4-FFF2-40B4-BE49-F238E27FC236}">
                  <a16:creationId xmlns:a16="http://schemas.microsoft.com/office/drawing/2014/main" id="{00000000-0008-0000-0B00-00001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76200</xdr:rowOff>
        </xdr:from>
        <xdr:to>
          <xdr:col>3</xdr:col>
          <xdr:colOff>381000</xdr:colOff>
          <xdr:row>18</xdr:row>
          <xdr:rowOff>295275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  <a:ext uri="{FF2B5EF4-FFF2-40B4-BE49-F238E27FC236}">
                  <a16:creationId xmlns:a16="http://schemas.microsoft.com/office/drawing/2014/main" id="{00000000-0008-0000-0B00-00001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76200</xdr:rowOff>
        </xdr:from>
        <xdr:to>
          <xdr:col>3</xdr:col>
          <xdr:colOff>381000</xdr:colOff>
          <xdr:row>7</xdr:row>
          <xdr:rowOff>295275</xdr:rowOff>
        </xdr:to>
        <xdr:sp macro="" textlink="">
          <xdr:nvSpPr>
            <xdr:cNvPr id="54304" name="Check Box 32" hidden="1">
              <a:extLst>
                <a:ext uri="{63B3BB69-23CF-44E3-9099-C40C66FF867C}">
                  <a14:compatExt spid="_x0000_s54304"/>
                </a:ext>
                <a:ext uri="{FF2B5EF4-FFF2-40B4-BE49-F238E27FC236}">
                  <a16:creationId xmlns:a16="http://schemas.microsoft.com/office/drawing/2014/main" id="{00000000-0008-0000-0B00-00002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85725</xdr:rowOff>
        </xdr:from>
        <xdr:to>
          <xdr:col>3</xdr:col>
          <xdr:colOff>381000</xdr:colOff>
          <xdr:row>17</xdr:row>
          <xdr:rowOff>304800</xdr:rowOff>
        </xdr:to>
        <xdr:sp macro="" textlink="">
          <xdr:nvSpPr>
            <xdr:cNvPr id="54305" name="Check Box 33" hidden="1">
              <a:extLst>
                <a:ext uri="{63B3BB69-23CF-44E3-9099-C40C66FF867C}">
                  <a14:compatExt spid="_x0000_s54305"/>
                </a:ext>
                <a:ext uri="{FF2B5EF4-FFF2-40B4-BE49-F238E27FC236}">
                  <a16:creationId xmlns:a16="http://schemas.microsoft.com/office/drawing/2014/main" id="{00000000-0008-0000-0B00-00002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76200</xdr:rowOff>
        </xdr:from>
        <xdr:to>
          <xdr:col>3</xdr:col>
          <xdr:colOff>381000</xdr:colOff>
          <xdr:row>21</xdr:row>
          <xdr:rowOff>295275</xdr:rowOff>
        </xdr:to>
        <xdr:sp macro="" textlink="">
          <xdr:nvSpPr>
            <xdr:cNvPr id="54306" name="Check Box 34" hidden="1">
              <a:extLst>
                <a:ext uri="{63B3BB69-23CF-44E3-9099-C40C66FF867C}">
                  <a14:compatExt spid="_x0000_s54306"/>
                </a:ext>
                <a:ext uri="{FF2B5EF4-FFF2-40B4-BE49-F238E27FC236}">
                  <a16:creationId xmlns:a16="http://schemas.microsoft.com/office/drawing/2014/main" id="{00000000-0008-0000-0B00-00002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85725</xdr:rowOff>
        </xdr:from>
        <xdr:to>
          <xdr:col>3</xdr:col>
          <xdr:colOff>381000</xdr:colOff>
          <xdr:row>19</xdr:row>
          <xdr:rowOff>304800</xdr:rowOff>
        </xdr:to>
        <xdr:sp macro="" textlink="">
          <xdr:nvSpPr>
            <xdr:cNvPr id="54307" name="Check Box 35" hidden="1">
              <a:extLst>
                <a:ext uri="{63B3BB69-23CF-44E3-9099-C40C66FF867C}">
                  <a14:compatExt spid="_x0000_s54307"/>
                </a:ext>
                <a:ext uri="{FF2B5EF4-FFF2-40B4-BE49-F238E27FC236}">
                  <a16:creationId xmlns:a16="http://schemas.microsoft.com/office/drawing/2014/main" id="{00000000-0008-0000-0B00-00002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85725</xdr:rowOff>
        </xdr:from>
        <xdr:to>
          <xdr:col>3</xdr:col>
          <xdr:colOff>381000</xdr:colOff>
          <xdr:row>20</xdr:row>
          <xdr:rowOff>304800</xdr:rowOff>
        </xdr:to>
        <xdr:sp macro="" textlink="">
          <xdr:nvSpPr>
            <xdr:cNvPr id="54308" name="Check Box 36" hidden="1">
              <a:extLst>
                <a:ext uri="{63B3BB69-23CF-44E3-9099-C40C66FF867C}">
                  <a14:compatExt spid="_x0000_s54308"/>
                </a:ext>
                <a:ext uri="{FF2B5EF4-FFF2-40B4-BE49-F238E27FC236}">
                  <a16:creationId xmlns:a16="http://schemas.microsoft.com/office/drawing/2014/main" id="{00000000-0008-0000-0B00-00002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76200</xdr:rowOff>
        </xdr:from>
        <xdr:to>
          <xdr:col>3</xdr:col>
          <xdr:colOff>381000</xdr:colOff>
          <xdr:row>6</xdr:row>
          <xdr:rowOff>295275</xdr:rowOff>
        </xdr:to>
        <xdr:sp macro="" textlink="">
          <xdr:nvSpPr>
            <xdr:cNvPr id="54309" name="Check Box 37" hidden="1">
              <a:extLst>
                <a:ext uri="{63B3BB69-23CF-44E3-9099-C40C66FF867C}">
                  <a14:compatExt spid="_x0000_s54309"/>
                </a:ext>
                <a:ext uri="{FF2B5EF4-FFF2-40B4-BE49-F238E27FC236}">
                  <a16:creationId xmlns:a16="http://schemas.microsoft.com/office/drawing/2014/main" id="{00000000-0008-0000-0B00-00002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381000</xdr:colOff>
          <xdr:row>9</xdr:row>
          <xdr:rowOff>219075</xdr:rowOff>
        </xdr:to>
        <xdr:sp macro="" textlink="">
          <xdr:nvSpPr>
            <xdr:cNvPr id="54310" name="Check Box 38" hidden="1">
              <a:extLst>
                <a:ext uri="{63B3BB69-23CF-44E3-9099-C40C66FF867C}">
                  <a14:compatExt spid="_x0000_s54310"/>
                </a:ext>
                <a:ext uri="{FF2B5EF4-FFF2-40B4-BE49-F238E27FC236}">
                  <a16:creationId xmlns:a16="http://schemas.microsoft.com/office/drawing/2014/main" id="{00000000-0008-0000-0B00-00002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311" name="Check Box 39" hidden="1">
              <a:extLst>
                <a:ext uri="{63B3BB69-23CF-44E3-9099-C40C66FF867C}">
                  <a14:compatExt spid="_x0000_s54311"/>
                </a:ext>
                <a:ext uri="{FF2B5EF4-FFF2-40B4-BE49-F238E27FC236}">
                  <a16:creationId xmlns:a16="http://schemas.microsoft.com/office/drawing/2014/main" id="{00000000-0008-0000-0B00-00002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54312" name="Check Box 40" hidden="1">
              <a:extLst>
                <a:ext uri="{63B3BB69-23CF-44E3-9099-C40C66FF867C}">
                  <a14:compatExt spid="_x0000_s54312"/>
                </a:ext>
                <a:ext uri="{FF2B5EF4-FFF2-40B4-BE49-F238E27FC236}">
                  <a16:creationId xmlns:a16="http://schemas.microsoft.com/office/drawing/2014/main" id="{00000000-0008-0000-0B00-00002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313" name="Check Box 41" hidden="1">
              <a:extLst>
                <a:ext uri="{63B3BB69-23CF-44E3-9099-C40C66FF867C}">
                  <a14:compatExt spid="_x0000_s54313"/>
                </a:ext>
                <a:ext uri="{FF2B5EF4-FFF2-40B4-BE49-F238E27FC236}">
                  <a16:creationId xmlns:a16="http://schemas.microsoft.com/office/drawing/2014/main" id="{00000000-0008-0000-0B00-00002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314" name="Check Box 42" hidden="1">
              <a:extLst>
                <a:ext uri="{63B3BB69-23CF-44E3-9099-C40C66FF867C}">
                  <a14:compatExt spid="_x0000_s54314"/>
                </a:ext>
                <a:ext uri="{FF2B5EF4-FFF2-40B4-BE49-F238E27FC236}">
                  <a16:creationId xmlns:a16="http://schemas.microsoft.com/office/drawing/2014/main" id="{00000000-0008-0000-0B00-00002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9525</xdr:rowOff>
        </xdr:from>
        <xdr:to>
          <xdr:col>3</xdr:col>
          <xdr:colOff>361950</xdr:colOff>
          <xdr:row>14</xdr:row>
          <xdr:rowOff>228600</xdr:rowOff>
        </xdr:to>
        <xdr:sp macro="" textlink="">
          <xdr:nvSpPr>
            <xdr:cNvPr id="54315" name="Check Box 43" hidden="1">
              <a:extLst>
                <a:ext uri="{63B3BB69-23CF-44E3-9099-C40C66FF867C}">
                  <a14:compatExt spid="_x0000_s54315"/>
                </a:ext>
                <a:ext uri="{FF2B5EF4-FFF2-40B4-BE49-F238E27FC236}">
                  <a16:creationId xmlns:a16="http://schemas.microsoft.com/office/drawing/2014/main" id="{00000000-0008-0000-0B00-00002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9525</xdr:rowOff>
        </xdr:from>
        <xdr:to>
          <xdr:col>3</xdr:col>
          <xdr:colOff>361950</xdr:colOff>
          <xdr:row>15</xdr:row>
          <xdr:rowOff>228600</xdr:rowOff>
        </xdr:to>
        <xdr:sp macro="" textlink="">
          <xdr:nvSpPr>
            <xdr:cNvPr id="54316" name="Check Box 44" hidden="1">
              <a:extLst>
                <a:ext uri="{63B3BB69-23CF-44E3-9099-C40C66FF867C}">
                  <a14:compatExt spid="_x0000_s54316"/>
                </a:ext>
                <a:ext uri="{FF2B5EF4-FFF2-40B4-BE49-F238E27FC236}">
                  <a16:creationId xmlns:a16="http://schemas.microsoft.com/office/drawing/2014/main" id="{00000000-0008-0000-0B00-00002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85725</xdr:rowOff>
        </xdr:from>
        <xdr:to>
          <xdr:col>3</xdr:col>
          <xdr:colOff>381000</xdr:colOff>
          <xdr:row>12</xdr:row>
          <xdr:rowOff>304800</xdr:rowOff>
        </xdr:to>
        <xdr:sp macro="" textlink="">
          <xdr:nvSpPr>
            <xdr:cNvPr id="54317" name="Check Box 45" hidden="1">
              <a:extLst>
                <a:ext uri="{63B3BB69-23CF-44E3-9099-C40C66FF867C}">
                  <a14:compatExt spid="_x0000_s54317"/>
                </a:ext>
                <a:ext uri="{FF2B5EF4-FFF2-40B4-BE49-F238E27FC236}">
                  <a16:creationId xmlns:a16="http://schemas.microsoft.com/office/drawing/2014/main" id="{00000000-0008-0000-0B00-00002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85725</xdr:rowOff>
        </xdr:from>
        <xdr:to>
          <xdr:col>3</xdr:col>
          <xdr:colOff>381000</xdr:colOff>
          <xdr:row>10</xdr:row>
          <xdr:rowOff>304800</xdr:rowOff>
        </xdr:to>
        <xdr:sp macro="" textlink="">
          <xdr:nvSpPr>
            <xdr:cNvPr id="54318" name="Check Box 46" hidden="1">
              <a:extLst>
                <a:ext uri="{63B3BB69-23CF-44E3-9099-C40C66FF867C}">
                  <a14:compatExt spid="_x0000_s54318"/>
                </a:ext>
                <a:ext uri="{FF2B5EF4-FFF2-40B4-BE49-F238E27FC236}">
                  <a16:creationId xmlns:a16="http://schemas.microsoft.com/office/drawing/2014/main" id="{00000000-0008-0000-0B00-00002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85725</xdr:rowOff>
        </xdr:from>
        <xdr:to>
          <xdr:col>3</xdr:col>
          <xdr:colOff>381000</xdr:colOff>
          <xdr:row>11</xdr:row>
          <xdr:rowOff>304800</xdr:rowOff>
        </xdr:to>
        <xdr:sp macro="" textlink="">
          <xdr:nvSpPr>
            <xdr:cNvPr id="54319" name="Check Box 47" hidden="1">
              <a:extLst>
                <a:ext uri="{63B3BB69-23CF-44E3-9099-C40C66FF867C}">
                  <a14:compatExt spid="_x0000_s54319"/>
                </a:ext>
                <a:ext uri="{FF2B5EF4-FFF2-40B4-BE49-F238E27FC236}">
                  <a16:creationId xmlns:a16="http://schemas.microsoft.com/office/drawing/2014/main" id="{00000000-0008-0000-0B00-00002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85725</xdr:rowOff>
        </xdr:from>
        <xdr:to>
          <xdr:col>3</xdr:col>
          <xdr:colOff>381000</xdr:colOff>
          <xdr:row>17</xdr:row>
          <xdr:rowOff>304800</xdr:rowOff>
        </xdr:to>
        <xdr:sp macro="" textlink="">
          <xdr:nvSpPr>
            <xdr:cNvPr id="54320" name="Check Box 48" hidden="1">
              <a:extLst>
                <a:ext uri="{63B3BB69-23CF-44E3-9099-C40C66FF867C}">
                  <a14:compatExt spid="_x0000_s54320"/>
                </a:ext>
                <a:ext uri="{FF2B5EF4-FFF2-40B4-BE49-F238E27FC236}">
                  <a16:creationId xmlns:a16="http://schemas.microsoft.com/office/drawing/2014/main" id="{00000000-0008-0000-0B00-00003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76200</xdr:rowOff>
        </xdr:from>
        <xdr:to>
          <xdr:col>3</xdr:col>
          <xdr:colOff>381000</xdr:colOff>
          <xdr:row>19</xdr:row>
          <xdr:rowOff>295275</xdr:rowOff>
        </xdr:to>
        <xdr:sp macro="" textlink="">
          <xdr:nvSpPr>
            <xdr:cNvPr id="54321" name="Check Box 49" hidden="1">
              <a:extLst>
                <a:ext uri="{63B3BB69-23CF-44E3-9099-C40C66FF867C}">
                  <a14:compatExt spid="_x0000_s54321"/>
                </a:ext>
                <a:ext uri="{FF2B5EF4-FFF2-40B4-BE49-F238E27FC236}">
                  <a16:creationId xmlns:a16="http://schemas.microsoft.com/office/drawing/2014/main" id="{00000000-0008-0000-0B00-00003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76200</xdr:rowOff>
        </xdr:from>
        <xdr:to>
          <xdr:col>3</xdr:col>
          <xdr:colOff>381000</xdr:colOff>
          <xdr:row>7</xdr:row>
          <xdr:rowOff>295275</xdr:rowOff>
        </xdr:to>
        <xdr:sp macro="" textlink="">
          <xdr:nvSpPr>
            <xdr:cNvPr id="54322" name="Check Box 50" hidden="1">
              <a:extLst>
                <a:ext uri="{63B3BB69-23CF-44E3-9099-C40C66FF867C}">
                  <a14:compatExt spid="_x0000_s54322"/>
                </a:ext>
                <a:ext uri="{FF2B5EF4-FFF2-40B4-BE49-F238E27FC236}">
                  <a16:creationId xmlns:a16="http://schemas.microsoft.com/office/drawing/2014/main" id="{00000000-0008-0000-0B00-00003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85725</xdr:rowOff>
        </xdr:from>
        <xdr:to>
          <xdr:col>3</xdr:col>
          <xdr:colOff>381000</xdr:colOff>
          <xdr:row>18</xdr:row>
          <xdr:rowOff>304800</xdr:rowOff>
        </xdr:to>
        <xdr:sp macro="" textlink="">
          <xdr:nvSpPr>
            <xdr:cNvPr id="54323" name="Check Box 51" hidden="1">
              <a:extLst>
                <a:ext uri="{63B3BB69-23CF-44E3-9099-C40C66FF867C}">
                  <a14:compatExt spid="_x0000_s54323"/>
                </a:ext>
                <a:ext uri="{FF2B5EF4-FFF2-40B4-BE49-F238E27FC236}">
                  <a16:creationId xmlns:a16="http://schemas.microsoft.com/office/drawing/2014/main" id="{00000000-0008-0000-0B00-00003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76200</xdr:rowOff>
        </xdr:from>
        <xdr:to>
          <xdr:col>3</xdr:col>
          <xdr:colOff>381000</xdr:colOff>
          <xdr:row>22</xdr:row>
          <xdr:rowOff>295275</xdr:rowOff>
        </xdr:to>
        <xdr:sp macro="" textlink="">
          <xdr:nvSpPr>
            <xdr:cNvPr id="54324" name="Check Box 52" hidden="1">
              <a:extLst>
                <a:ext uri="{63B3BB69-23CF-44E3-9099-C40C66FF867C}">
                  <a14:compatExt spid="_x0000_s54324"/>
                </a:ext>
                <a:ext uri="{FF2B5EF4-FFF2-40B4-BE49-F238E27FC236}">
                  <a16:creationId xmlns:a16="http://schemas.microsoft.com/office/drawing/2014/main" id="{00000000-0008-0000-0B00-00003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85725</xdr:rowOff>
        </xdr:from>
        <xdr:to>
          <xdr:col>3</xdr:col>
          <xdr:colOff>381000</xdr:colOff>
          <xdr:row>20</xdr:row>
          <xdr:rowOff>304800</xdr:rowOff>
        </xdr:to>
        <xdr:sp macro="" textlink="">
          <xdr:nvSpPr>
            <xdr:cNvPr id="54325" name="Check Box 53" hidden="1">
              <a:extLst>
                <a:ext uri="{63B3BB69-23CF-44E3-9099-C40C66FF867C}">
                  <a14:compatExt spid="_x0000_s54325"/>
                </a:ext>
                <a:ext uri="{FF2B5EF4-FFF2-40B4-BE49-F238E27FC236}">
                  <a16:creationId xmlns:a16="http://schemas.microsoft.com/office/drawing/2014/main" id="{00000000-0008-0000-0B00-00003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85725</xdr:rowOff>
        </xdr:from>
        <xdr:to>
          <xdr:col>3</xdr:col>
          <xdr:colOff>381000</xdr:colOff>
          <xdr:row>21</xdr:row>
          <xdr:rowOff>304800</xdr:rowOff>
        </xdr:to>
        <xdr:sp macro="" textlink="">
          <xdr:nvSpPr>
            <xdr:cNvPr id="54326" name="Check Box 54" hidden="1">
              <a:extLst>
                <a:ext uri="{63B3BB69-23CF-44E3-9099-C40C66FF867C}">
                  <a14:compatExt spid="_x0000_s54326"/>
                </a:ext>
                <a:ext uri="{FF2B5EF4-FFF2-40B4-BE49-F238E27FC236}">
                  <a16:creationId xmlns:a16="http://schemas.microsoft.com/office/drawing/2014/main" id="{00000000-0008-0000-0B00-00003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9525</xdr:rowOff>
        </xdr:from>
        <xdr:to>
          <xdr:col>3</xdr:col>
          <xdr:colOff>361950</xdr:colOff>
          <xdr:row>16</xdr:row>
          <xdr:rowOff>228600</xdr:rowOff>
        </xdr:to>
        <xdr:sp macro="" textlink="">
          <xdr:nvSpPr>
            <xdr:cNvPr id="54327" name="Check Box 55" hidden="1">
              <a:extLst>
                <a:ext uri="{63B3BB69-23CF-44E3-9099-C40C66FF867C}">
                  <a14:compatExt spid="_x0000_s54327"/>
                </a:ext>
                <a:ext uri="{FF2B5EF4-FFF2-40B4-BE49-F238E27FC236}">
                  <a16:creationId xmlns:a16="http://schemas.microsoft.com/office/drawing/2014/main" id="{00000000-0008-0000-0B00-00003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15875</xdr:colOff>
      <xdr:row>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89230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57150</xdr:colOff>
      <xdr:row>2</xdr:row>
      <xdr:rowOff>57151</xdr:rowOff>
    </xdr:from>
    <xdr:to>
      <xdr:col>4</xdr:col>
      <xdr:colOff>29308</xdr:colOff>
      <xdr:row>3</xdr:row>
      <xdr:rowOff>168212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4326"/>
          <a:ext cx="1197952" cy="320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15875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89230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8923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89230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2001471" y="1956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001471" y="2154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001471" y="2154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2001471" y="2549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70</xdr:row>
          <xdr:rowOff>142875</xdr:rowOff>
        </xdr:from>
        <xdr:to>
          <xdr:col>6</xdr:col>
          <xdr:colOff>228600</xdr:colOff>
          <xdr:row>70</xdr:row>
          <xdr:rowOff>333375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C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71</xdr:row>
          <xdr:rowOff>142875</xdr:rowOff>
        </xdr:from>
        <xdr:to>
          <xdr:col>6</xdr:col>
          <xdr:colOff>219075</xdr:colOff>
          <xdr:row>71</xdr:row>
          <xdr:rowOff>333375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C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72</xdr:row>
          <xdr:rowOff>142875</xdr:rowOff>
        </xdr:from>
        <xdr:to>
          <xdr:col>6</xdr:col>
          <xdr:colOff>219075</xdr:colOff>
          <xdr:row>72</xdr:row>
          <xdr:rowOff>333375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C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70</xdr:row>
          <xdr:rowOff>142875</xdr:rowOff>
        </xdr:from>
        <xdr:to>
          <xdr:col>13</xdr:col>
          <xdr:colOff>238125</xdr:colOff>
          <xdr:row>70</xdr:row>
          <xdr:rowOff>333375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C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71</xdr:row>
          <xdr:rowOff>142875</xdr:rowOff>
        </xdr:from>
        <xdr:to>
          <xdr:col>13</xdr:col>
          <xdr:colOff>238125</xdr:colOff>
          <xdr:row>71</xdr:row>
          <xdr:rowOff>333375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C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70</xdr:row>
          <xdr:rowOff>142875</xdr:rowOff>
        </xdr:from>
        <xdr:to>
          <xdr:col>20</xdr:col>
          <xdr:colOff>219075</xdr:colOff>
          <xdr:row>70</xdr:row>
          <xdr:rowOff>333375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C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71</xdr:row>
          <xdr:rowOff>142875</xdr:rowOff>
        </xdr:from>
        <xdr:to>
          <xdr:col>20</xdr:col>
          <xdr:colOff>219075</xdr:colOff>
          <xdr:row>71</xdr:row>
          <xdr:rowOff>333375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C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15875</xdr:colOff>
      <xdr:row>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876913" y="2154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876913" y="2154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1876913" y="2154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1876913" y="2351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15875</xdr:colOff>
      <xdr:row>12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876913" y="2351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72</xdr:row>
          <xdr:rowOff>142875</xdr:rowOff>
        </xdr:from>
        <xdr:to>
          <xdr:col>13</xdr:col>
          <xdr:colOff>219075</xdr:colOff>
          <xdr:row>72</xdr:row>
          <xdr:rowOff>333375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C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21</xdr:row>
      <xdr:rowOff>0</xdr:rowOff>
    </xdr:from>
    <xdr:to>
      <xdr:col>12</xdr:col>
      <xdr:colOff>133350</xdr:colOff>
      <xdr:row>21</xdr:row>
      <xdr:rowOff>0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2219325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21</xdr:row>
      <xdr:rowOff>0</xdr:rowOff>
    </xdr:from>
    <xdr:to>
      <xdr:col>12</xdr:col>
      <xdr:colOff>133350</xdr:colOff>
      <xdr:row>21</xdr:row>
      <xdr:rowOff>0</xdr:rowOff>
    </xdr:to>
    <xdr:sp macro="" textlink="">
      <xdr:nvSpPr>
        <xdr:cNvPr id="3" name="Rectangle 4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2219325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21</xdr:row>
      <xdr:rowOff>0</xdr:rowOff>
    </xdr:from>
    <xdr:to>
      <xdr:col>23</xdr:col>
      <xdr:colOff>133350</xdr:colOff>
      <xdr:row>21</xdr:row>
      <xdr:rowOff>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4210050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21</xdr:row>
      <xdr:rowOff>0</xdr:rowOff>
    </xdr:from>
    <xdr:to>
      <xdr:col>23</xdr:col>
      <xdr:colOff>133350</xdr:colOff>
      <xdr:row>21</xdr:row>
      <xdr:rowOff>0</xdr:rowOff>
    </xdr:to>
    <xdr:sp macro="" textlink="">
      <xdr:nvSpPr>
        <xdr:cNvPr id="5" name="Rectangle 5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4210050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21</xdr:row>
      <xdr:rowOff>0</xdr:rowOff>
    </xdr:from>
    <xdr:to>
      <xdr:col>23</xdr:col>
      <xdr:colOff>133350</xdr:colOff>
      <xdr:row>21</xdr:row>
      <xdr:rowOff>0</xdr:rowOff>
    </xdr:to>
    <xdr:sp macro="" textlink="">
      <xdr:nvSpPr>
        <xdr:cNvPr id="6" name="Rectangle 5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4210050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22</xdr:row>
      <xdr:rowOff>0</xdr:rowOff>
    </xdr:from>
    <xdr:to>
      <xdr:col>29</xdr:col>
      <xdr:colOff>114300</xdr:colOff>
      <xdr:row>22</xdr:row>
      <xdr:rowOff>0</xdr:rowOff>
    </xdr:to>
    <xdr:sp macro="" textlink="">
      <xdr:nvSpPr>
        <xdr:cNvPr id="7" name="Rectangle 20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5429250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22</xdr:row>
      <xdr:rowOff>0</xdr:rowOff>
    </xdr:from>
    <xdr:to>
      <xdr:col>23</xdr:col>
      <xdr:colOff>104775</xdr:colOff>
      <xdr:row>22</xdr:row>
      <xdr:rowOff>0</xdr:rowOff>
    </xdr:to>
    <xdr:sp macro="" textlink="">
      <xdr:nvSpPr>
        <xdr:cNvPr id="8" name="Rectangle 20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41814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9" name="Rectangle 205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28098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10" name="Rectangle 206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rrowheads="1"/>
        </xdr:cNvSpPr>
      </xdr:nvSpPr>
      <xdr:spPr bwMode="auto">
        <a:xfrm>
          <a:off x="28098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22</xdr:row>
      <xdr:rowOff>0</xdr:rowOff>
    </xdr:from>
    <xdr:to>
      <xdr:col>23</xdr:col>
      <xdr:colOff>104775</xdr:colOff>
      <xdr:row>22</xdr:row>
      <xdr:rowOff>0</xdr:rowOff>
    </xdr:to>
    <xdr:sp macro="" textlink="">
      <xdr:nvSpPr>
        <xdr:cNvPr id="11" name="Rectangle 208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rrowheads="1"/>
        </xdr:cNvSpPr>
      </xdr:nvSpPr>
      <xdr:spPr bwMode="auto">
        <a:xfrm>
          <a:off x="41814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38100</xdr:colOff>
      <xdr:row>22</xdr:row>
      <xdr:rowOff>0</xdr:rowOff>
    </xdr:from>
    <xdr:to>
      <xdr:col>29</xdr:col>
      <xdr:colOff>114300</xdr:colOff>
      <xdr:row>22</xdr:row>
      <xdr:rowOff>0</xdr:rowOff>
    </xdr:to>
    <xdr:sp macro="" textlink="">
      <xdr:nvSpPr>
        <xdr:cNvPr id="12" name="Rectangle 209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rrowheads="1"/>
        </xdr:cNvSpPr>
      </xdr:nvSpPr>
      <xdr:spPr bwMode="auto">
        <a:xfrm>
          <a:off x="5429250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76200</xdr:rowOff>
        </xdr:from>
        <xdr:to>
          <xdr:col>1</xdr:col>
          <xdr:colOff>57150</xdr:colOff>
          <xdr:row>25</xdr:row>
          <xdr:rowOff>295275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D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25</xdr:row>
          <xdr:rowOff>95250</xdr:rowOff>
        </xdr:from>
        <xdr:to>
          <xdr:col>15</xdr:col>
          <xdr:colOff>66675</xdr:colOff>
          <xdr:row>25</xdr:row>
          <xdr:rowOff>314325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D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85725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0D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55563</xdr:colOff>
      <xdr:row>0</xdr:row>
      <xdr:rowOff>63501</xdr:rowOff>
    </xdr:from>
    <xdr:to>
      <xdr:col>6</xdr:col>
      <xdr:colOff>171206</xdr:colOff>
      <xdr:row>0</xdr:row>
      <xdr:rowOff>387043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63501"/>
          <a:ext cx="1191968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21</xdr:row>
      <xdr:rowOff>0</xdr:rowOff>
    </xdr:from>
    <xdr:to>
      <xdr:col>12</xdr:col>
      <xdr:colOff>133350</xdr:colOff>
      <xdr:row>21</xdr:row>
      <xdr:rowOff>0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2219325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21</xdr:row>
      <xdr:rowOff>0</xdr:rowOff>
    </xdr:from>
    <xdr:to>
      <xdr:col>12</xdr:col>
      <xdr:colOff>133350</xdr:colOff>
      <xdr:row>21</xdr:row>
      <xdr:rowOff>0</xdr:rowOff>
    </xdr:to>
    <xdr:sp macro="" textlink="">
      <xdr:nvSpPr>
        <xdr:cNvPr id="3" name="Rectangle 4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2219325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21</xdr:row>
      <xdr:rowOff>0</xdr:rowOff>
    </xdr:from>
    <xdr:to>
      <xdr:col>23</xdr:col>
      <xdr:colOff>133350</xdr:colOff>
      <xdr:row>21</xdr:row>
      <xdr:rowOff>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4210050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21</xdr:row>
      <xdr:rowOff>0</xdr:rowOff>
    </xdr:from>
    <xdr:to>
      <xdr:col>23</xdr:col>
      <xdr:colOff>133350</xdr:colOff>
      <xdr:row>21</xdr:row>
      <xdr:rowOff>0</xdr:rowOff>
    </xdr:to>
    <xdr:sp macro="" textlink="">
      <xdr:nvSpPr>
        <xdr:cNvPr id="5" name="Rectangle 5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4210050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21</xdr:row>
      <xdr:rowOff>0</xdr:rowOff>
    </xdr:from>
    <xdr:to>
      <xdr:col>23</xdr:col>
      <xdr:colOff>133350</xdr:colOff>
      <xdr:row>21</xdr:row>
      <xdr:rowOff>0</xdr:rowOff>
    </xdr:to>
    <xdr:sp macro="" textlink="">
      <xdr:nvSpPr>
        <xdr:cNvPr id="6" name="Rectangle 5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4210050" y="387667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22</xdr:row>
      <xdr:rowOff>0</xdr:rowOff>
    </xdr:from>
    <xdr:to>
      <xdr:col>29</xdr:col>
      <xdr:colOff>114300</xdr:colOff>
      <xdr:row>22</xdr:row>
      <xdr:rowOff>0</xdr:rowOff>
    </xdr:to>
    <xdr:sp macro="" textlink="">
      <xdr:nvSpPr>
        <xdr:cNvPr id="7" name="Rectangle 20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5429250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22</xdr:row>
      <xdr:rowOff>0</xdr:rowOff>
    </xdr:from>
    <xdr:to>
      <xdr:col>23</xdr:col>
      <xdr:colOff>104775</xdr:colOff>
      <xdr:row>22</xdr:row>
      <xdr:rowOff>0</xdr:rowOff>
    </xdr:to>
    <xdr:sp macro="" textlink="">
      <xdr:nvSpPr>
        <xdr:cNvPr id="8" name="Rectangle 20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rrowheads="1"/>
        </xdr:cNvSpPr>
      </xdr:nvSpPr>
      <xdr:spPr bwMode="auto">
        <a:xfrm>
          <a:off x="41814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9" name="Rectangle 205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28098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10" name="Rectangle 206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28098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22</xdr:row>
      <xdr:rowOff>0</xdr:rowOff>
    </xdr:from>
    <xdr:to>
      <xdr:col>23</xdr:col>
      <xdr:colOff>104775</xdr:colOff>
      <xdr:row>22</xdr:row>
      <xdr:rowOff>0</xdr:rowOff>
    </xdr:to>
    <xdr:sp macro="" textlink="">
      <xdr:nvSpPr>
        <xdr:cNvPr id="11" name="Rectangle 208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4181475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38100</xdr:colOff>
      <xdr:row>22</xdr:row>
      <xdr:rowOff>0</xdr:rowOff>
    </xdr:from>
    <xdr:to>
      <xdr:col>29</xdr:col>
      <xdr:colOff>114300</xdr:colOff>
      <xdr:row>22</xdr:row>
      <xdr:rowOff>0</xdr:rowOff>
    </xdr:to>
    <xdr:sp macro="" textlink="">
      <xdr:nvSpPr>
        <xdr:cNvPr id="12" name="Rectangle 209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Arrowheads="1"/>
        </xdr:cNvSpPr>
      </xdr:nvSpPr>
      <xdr:spPr bwMode="auto">
        <a:xfrm>
          <a:off x="5429250" y="406717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76200</xdr:rowOff>
        </xdr:from>
        <xdr:to>
          <xdr:col>1</xdr:col>
          <xdr:colOff>57150</xdr:colOff>
          <xdr:row>25</xdr:row>
          <xdr:rowOff>295275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E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25</xdr:row>
          <xdr:rowOff>95250</xdr:rowOff>
        </xdr:from>
        <xdr:to>
          <xdr:col>15</xdr:col>
          <xdr:colOff>66675</xdr:colOff>
          <xdr:row>25</xdr:row>
          <xdr:rowOff>314325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E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85725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0E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55563</xdr:colOff>
      <xdr:row>0</xdr:row>
      <xdr:rowOff>63501</xdr:rowOff>
    </xdr:from>
    <xdr:to>
      <xdr:col>6</xdr:col>
      <xdr:colOff>171206</xdr:colOff>
      <xdr:row>0</xdr:row>
      <xdr:rowOff>387043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63501"/>
          <a:ext cx="1191968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16</xdr:row>
      <xdr:rowOff>0</xdr:rowOff>
    </xdr:from>
    <xdr:to>
      <xdr:col>12</xdr:col>
      <xdr:colOff>133350</xdr:colOff>
      <xdr:row>16</xdr:row>
      <xdr:rowOff>0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2219325" y="313372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57150</xdr:colOff>
      <xdr:row>16</xdr:row>
      <xdr:rowOff>0</xdr:rowOff>
    </xdr:from>
    <xdr:to>
      <xdr:col>12</xdr:col>
      <xdr:colOff>133350</xdr:colOff>
      <xdr:row>16</xdr:row>
      <xdr:rowOff>0</xdr:rowOff>
    </xdr:to>
    <xdr:sp macro="" textlink="">
      <xdr:nvSpPr>
        <xdr:cNvPr id="3" name="Rectangle 4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2219325" y="313372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16</xdr:row>
      <xdr:rowOff>0</xdr:rowOff>
    </xdr:from>
    <xdr:to>
      <xdr:col>23</xdr:col>
      <xdr:colOff>133350</xdr:colOff>
      <xdr:row>16</xdr:row>
      <xdr:rowOff>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4210050" y="313372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16</xdr:row>
      <xdr:rowOff>0</xdr:rowOff>
    </xdr:from>
    <xdr:to>
      <xdr:col>23</xdr:col>
      <xdr:colOff>133350</xdr:colOff>
      <xdr:row>16</xdr:row>
      <xdr:rowOff>0</xdr:rowOff>
    </xdr:to>
    <xdr:sp macro="" textlink="">
      <xdr:nvSpPr>
        <xdr:cNvPr id="5" name="Rectangle 5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4210050" y="313372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16</xdr:row>
      <xdr:rowOff>0</xdr:rowOff>
    </xdr:from>
    <xdr:to>
      <xdr:col>23</xdr:col>
      <xdr:colOff>133350</xdr:colOff>
      <xdr:row>16</xdr:row>
      <xdr:rowOff>0</xdr:rowOff>
    </xdr:to>
    <xdr:sp macro="" textlink="">
      <xdr:nvSpPr>
        <xdr:cNvPr id="6" name="Rectangle 5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4210050" y="3133725"/>
          <a:ext cx="7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18</xdr:row>
      <xdr:rowOff>0</xdr:rowOff>
    </xdr:from>
    <xdr:to>
      <xdr:col>29</xdr:col>
      <xdr:colOff>114300</xdr:colOff>
      <xdr:row>18</xdr:row>
      <xdr:rowOff>0</xdr:rowOff>
    </xdr:to>
    <xdr:sp macro="" textlink="">
      <xdr:nvSpPr>
        <xdr:cNvPr id="7" name="Rectangle 20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429250" y="359092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18</xdr:row>
      <xdr:rowOff>0</xdr:rowOff>
    </xdr:from>
    <xdr:to>
      <xdr:col>23</xdr:col>
      <xdr:colOff>104775</xdr:colOff>
      <xdr:row>18</xdr:row>
      <xdr:rowOff>0</xdr:rowOff>
    </xdr:to>
    <xdr:sp macro="" textlink="">
      <xdr:nvSpPr>
        <xdr:cNvPr id="8" name="Rectangle 20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4181475" y="359092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9" name="Rectangle 205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2809875" y="359092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10" name="Rectangle 206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2809875" y="359092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18</xdr:row>
      <xdr:rowOff>0</xdr:rowOff>
    </xdr:from>
    <xdr:to>
      <xdr:col>23</xdr:col>
      <xdr:colOff>104775</xdr:colOff>
      <xdr:row>18</xdr:row>
      <xdr:rowOff>0</xdr:rowOff>
    </xdr:to>
    <xdr:sp macro="" textlink="">
      <xdr:nvSpPr>
        <xdr:cNvPr id="11" name="Rectangle 208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181475" y="359092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38100</xdr:colOff>
      <xdr:row>18</xdr:row>
      <xdr:rowOff>0</xdr:rowOff>
    </xdr:from>
    <xdr:to>
      <xdr:col>29</xdr:col>
      <xdr:colOff>114300</xdr:colOff>
      <xdr:row>18</xdr:row>
      <xdr:rowOff>0</xdr:rowOff>
    </xdr:to>
    <xdr:sp macro="" textlink="">
      <xdr:nvSpPr>
        <xdr:cNvPr id="12" name="Rectangle 209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5429250" y="3590925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55563</xdr:colOff>
      <xdr:row>1</xdr:row>
      <xdr:rowOff>63501</xdr:rowOff>
    </xdr:from>
    <xdr:ext cx="1203081" cy="323542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377826"/>
          <a:ext cx="1203081" cy="323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190500</xdr:rowOff>
        </xdr:from>
        <xdr:to>
          <xdr:col>1</xdr:col>
          <xdr:colOff>276225</xdr:colOff>
          <xdr:row>21</xdr:row>
          <xdr:rowOff>9525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1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20</xdr:row>
          <xdr:rowOff>180975</xdr:rowOff>
        </xdr:from>
        <xdr:to>
          <xdr:col>1</xdr:col>
          <xdr:colOff>276225</xdr:colOff>
          <xdr:row>22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10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21</xdr:row>
          <xdr:rowOff>190500</xdr:rowOff>
        </xdr:from>
        <xdr:to>
          <xdr:col>1</xdr:col>
          <xdr:colOff>276225</xdr:colOff>
          <xdr:row>23</xdr:row>
          <xdr:rowOff>9525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10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19</xdr:row>
          <xdr:rowOff>190500</xdr:rowOff>
        </xdr:from>
        <xdr:to>
          <xdr:col>5</xdr:col>
          <xdr:colOff>295275</xdr:colOff>
          <xdr:row>21</xdr:row>
          <xdr:rowOff>9525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10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20</xdr:row>
          <xdr:rowOff>180975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10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21</xdr:row>
          <xdr:rowOff>190500</xdr:rowOff>
        </xdr:from>
        <xdr:to>
          <xdr:col>5</xdr:col>
          <xdr:colOff>295275</xdr:colOff>
          <xdr:row>23</xdr:row>
          <xdr:rowOff>9525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10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24</xdr:row>
          <xdr:rowOff>180975</xdr:rowOff>
        </xdr:from>
        <xdr:to>
          <xdr:col>1</xdr:col>
          <xdr:colOff>276225</xdr:colOff>
          <xdr:row>26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10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25</xdr:row>
          <xdr:rowOff>190500</xdr:rowOff>
        </xdr:from>
        <xdr:to>
          <xdr:col>1</xdr:col>
          <xdr:colOff>276225</xdr:colOff>
          <xdr:row>27</xdr:row>
          <xdr:rowOff>9525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10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28</xdr:row>
          <xdr:rowOff>180975</xdr:rowOff>
        </xdr:from>
        <xdr:to>
          <xdr:col>1</xdr:col>
          <xdr:colOff>276225</xdr:colOff>
          <xdr:row>30</xdr:row>
          <xdr:rowOff>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1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29</xdr:row>
          <xdr:rowOff>190500</xdr:rowOff>
        </xdr:from>
        <xdr:to>
          <xdr:col>1</xdr:col>
          <xdr:colOff>276225</xdr:colOff>
          <xdr:row>31</xdr:row>
          <xdr:rowOff>9525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10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30</xdr:row>
          <xdr:rowOff>180975</xdr:rowOff>
        </xdr:from>
        <xdr:to>
          <xdr:col>1</xdr:col>
          <xdr:colOff>276225</xdr:colOff>
          <xdr:row>32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10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31</xdr:row>
          <xdr:rowOff>190500</xdr:rowOff>
        </xdr:from>
        <xdr:to>
          <xdr:col>1</xdr:col>
          <xdr:colOff>276225</xdr:colOff>
          <xdr:row>33</xdr:row>
          <xdr:rowOff>9525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10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32</xdr:row>
          <xdr:rowOff>190500</xdr:rowOff>
        </xdr:from>
        <xdr:to>
          <xdr:col>1</xdr:col>
          <xdr:colOff>276225</xdr:colOff>
          <xdr:row>34</xdr:row>
          <xdr:rowOff>9525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10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24</xdr:row>
          <xdr:rowOff>180975</xdr:rowOff>
        </xdr:from>
        <xdr:to>
          <xdr:col>5</xdr:col>
          <xdr:colOff>295275</xdr:colOff>
          <xdr:row>26</xdr:row>
          <xdr:rowOff>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10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25</xdr:row>
          <xdr:rowOff>190500</xdr:rowOff>
        </xdr:from>
        <xdr:to>
          <xdr:col>5</xdr:col>
          <xdr:colOff>295275</xdr:colOff>
          <xdr:row>27</xdr:row>
          <xdr:rowOff>9525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10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36</xdr:row>
          <xdr:rowOff>190500</xdr:rowOff>
        </xdr:from>
        <xdr:to>
          <xdr:col>1</xdr:col>
          <xdr:colOff>276225</xdr:colOff>
          <xdr:row>38</xdr:row>
          <xdr:rowOff>9525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10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37</xdr:row>
          <xdr:rowOff>190500</xdr:rowOff>
        </xdr:from>
        <xdr:to>
          <xdr:col>1</xdr:col>
          <xdr:colOff>276225</xdr:colOff>
          <xdr:row>38</xdr:row>
          <xdr:rowOff>209550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10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38</xdr:row>
          <xdr:rowOff>400050</xdr:rowOff>
        </xdr:from>
        <xdr:to>
          <xdr:col>1</xdr:col>
          <xdr:colOff>276225</xdr:colOff>
          <xdr:row>40</xdr:row>
          <xdr:rowOff>19050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10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190500</xdr:colOff>
      <xdr:row>2</xdr:row>
      <xdr:rowOff>28575</xdr:rowOff>
    </xdr:from>
    <xdr:to>
      <xdr:col>1</xdr:col>
      <xdr:colOff>346075</xdr:colOff>
      <xdr:row>4</xdr:row>
      <xdr:rowOff>180975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165350" cy="552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41</xdr:row>
          <xdr:rowOff>190500</xdr:rowOff>
        </xdr:from>
        <xdr:to>
          <xdr:col>1</xdr:col>
          <xdr:colOff>276225</xdr:colOff>
          <xdr:row>43</xdr:row>
          <xdr:rowOff>9525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10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42</xdr:row>
          <xdr:rowOff>190500</xdr:rowOff>
        </xdr:from>
        <xdr:to>
          <xdr:col>1</xdr:col>
          <xdr:colOff>276225</xdr:colOff>
          <xdr:row>44</xdr:row>
          <xdr:rowOff>9525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10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m03\&#1052;&#1086;&#1080;%20&#1076;&#1086;&#1082;&#1091;&#1084;&#1077;&#1085;&#1090;&#1099;\&#1059;&#1050;&#1052;&#1041;\&#1048;&#1085;&#1089;&#1090;&#1088;&#1091;&#1082;&#1094;&#1080;&#1103;%20&#1059;&#1050;&#1052;&#1041;\!!!-%20&#1048;&#1050;&#1052;&#1041;\&#1048;&#1079;&#1084;&#1077;&#1085;&#1077;&#1085;&#1080;&#1103;%20&#1074;%20&#1048;&#1050;&#1052;&#1041;%203\&#1055;&#1088;&#1080;&#1083;&#1086;&#1078;&#1077;&#1085;&#1080;&#1103;\work\&#1055;&#1088;&#1080;&#1082;&#1072;&#1079;%20&#8470;%2082%20&#1055;&#1088;&#1080;&#1083;&#1086;&#1078;&#1077;&#1085;&#1080;&#1077;%20forma($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4;&#1077;&#1087;&#1072;&#1088;&#1090;&#1072;&#1084;&#1077;&#1085;&#1090;%20&#1084;&#1072;&#1083;&#1086;&#1075;&#1086;%20&#1073;&#1080;&#1079;&#1085;&#1077;&#1089;&#1072;\For%20All_&#1044;&#1077;&#1087;&#1072;&#1088;&#1090;&#1072;&#1084;&#1077;&#1085;&#1090;\&#1059;&#1087;&#1088;&#1086;&#1097;&#1077;&#1085;&#1085;&#1072;&#1103;%20&#1087;&#1088;&#1086;&#1094;&#1077;&#1076;&#1091;&#1088;&#1072;%20&#1072;&#1085;&#1072;&#1083;&#1080;&#1079;&#1072;\&#1042;&#1058;&#1041;%20&#1055;&#1088;&#1080;&#1083;&#1086;&#1078;&#1077;&#1085;&#1080;&#1077;%2013.2.3%20(&#1072;&#1085;&#1072;&#1083;&#1080;&#1090;&#1080;&#1095;&#1077;&#1089;&#1082;&#1086;&#1077;%20&#1079;&#1072;&#1082;&#1083;&#1102;&#1095;&#1077;&#1085;&#1080;&#1077;%20&#1082;&#1088;&#1077;&#1076;&#1080;&#1090;%20&#1085;&#1072;%20&#1088;&#1072;&#1079;&#1074;&#1080;&#1090;&#1080;&#1077;%20&#1073;&#1080;&#1079;&#1085;&#1077;&#1089;&#107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&#1059;&#1096;&#1080;,%20&#1083;&#1072;&#1087;&#1099;,%20&#1093;&#1074;&#1086;&#1089;&#1090;\&#1041;&#1072;&#1085;&#1082;%20&#1056;&#1072;&#1079;&#1074;&#1080;&#1090;&#1080;&#1103;\!&#1060;&#1077;&#1074;&#1088;&#1072;&#1083;&#1100;%202016\&#1087;&#1088;&#1086;&#1077;&#1082;&#1090;%20&#1079;&#1072;&#1103;&#1074;&#1082;&#1080;%20&#1085;&#1072;%20&#1084;&#1080;&#1082;&#1088;&#1086;&#1082;&#1088;&#1077;&#1076;&#1080;&#1090;%20&#1089;%20&#1073;&#1091;&#1093;&#1091;&#1095;&#1077;&#1090;&#1086;&#1084;\&#1076;&#1083;&#1103;%20&#1074;&#1085;&#1077;&#1089;&#1077;&#1085;&#1080;&#1103;%20&#1080;&#1079;&#1084;&#1077;&#1085;&#1077;&#1085;&#1080;&#1081;%20&#1074;%20&#1079;&#1072;&#1103;&#1074;&#1082;&#1091;\&#1055;&#1088;&#1080;&#1083;&#1086;&#1078;&#1077;&#1085;&#1080;&#1103;%20&#1076;&#1083;&#1103;%20&#1082;&#1084;\&#1055;&#1088;&#1080;&#1083;&#1086;&#1078;&#1077;&#1085;&#1080;&#1077;%208%20(&#1055;&#1088;&#1086;&#1090;&#1086;&#1082;&#1086;&#1083;&#1099;%20&#1089;&#1086;&#1075;&#1083;&#1072;&#1089;&#1086;&#1074;&#1072;&#1085;&#1080;&#110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kula\AppData\Local\Temp\dp\directum\&#1055;&#1088;&#1080;&#1083;.1%20&#1055;&#1072;&#1082;&#1077;&#1090;%20&#1076;&#1086;&#1082;&#1091;&#1084;&#1077;&#1085;&#1090;&#1086;&#1074;%20&#1076;&#1083;&#1103;%20&#1070;&#1051;%20(1254199%20v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vakula\AppData\Local\Temp\dp\directum\&#1055;&#1088;&#1080;&#1083;.1%20&#1055;&#1072;&#1082;&#1077;&#1090;%20&#1076;&#1086;&#1082;&#1091;&#1084;&#1077;&#1085;&#1090;&#1086;&#1074;%20&#1076;&#1083;&#1103;%20&#1070;&#1051;%20(1254199%20v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3;&#1103;%20&#1088;&#1072;&#1073;&#1086;&#1090;&#1099;\&#1055;&#1088;&#1086;&#1076;&#1091;&#1082;&#1090;&#1099;\&#1054;&#1074;&#1077;&#1088;&#1076;&#1088;&#1072;&#1092;&#1090;%20&#1080;%20&#1055;&#1086;&#1076;&#1079;&#1072;&#1088;&#1103;&#1076;&#1082;&#1072;\&#1055;&#1086;&#1083;&#1086;&#1078;&#1077;&#1085;&#1080;&#1077;\&#1055;&#1088;&#1080;&#1083;&#1086;&#1078;&#1077;&#1085;&#1080;&#1077;%201%20&#1055;&#1072;&#1082;&#1077;&#1090;%20&#1076;&#1086;&#1082;&#1091;&#1084;&#1077;&#1085;&#1090;&#1086;&#1074;%20&#1076;&#1083;&#1103;%20&#1070;&#105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9;&#1050;&#1069;&#1050;&#1050;\&#1054;&#1060;&#1052;&#1041;\&#1057;&#1072;&#1074;&#1080;&#1083;&#1086;\&#1054;&#1074;&#1077;&#1088;%20&#1080;&#1079;&#1084;&#1077;&#1085;&#1077;&#1085;&#1080;&#1103;%20&#1074;%20&#1087;&#1086;&#1083;&#1086;&#1078;&#1077;&#1085;&#1080;&#1077;%2021&#1075;\&#1055;&#1088;&#1080;&#1083;&#1086;&#1078;&#1077;&#1085;&#1080;&#1103;%201,%202,%20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P-common\&#1059;&#1087;&#1088;%20&#1082;&#1086;&#1088;&#1087;&#1086;&#1088;&#1072;&#1090;&#1080;&#1074;&#1085;&#1086;&#1075;&#1086;%20&#1073;&#1080;&#1079;&#1085;&#1077;&#1089;&#1072;\3.%20&#1050;&#1086;&#1084;&#1080;&#1089;&#1089;&#1080;&#1086;&#1085;&#1085;&#1099;&#1077;%20&#1087;&#1088;&#1086;&#1076;&#1091;&#1082;&#1090;&#1099;\4.%20&#1054;&#1090;&#1082;&#1088;&#1099;&#1090;&#1080;&#1077;%20&#1089;&#1095;&#1077;&#1090;&#1086;&#1074;\&#1089;&#1095;&#1077;&#1090;%20&#1076;&#1083;&#1103;%20&#1048;&#1055;%20&#1087;&#1086;&#1083;&#1085;&#1086;&#1089;&#1090;&#1100;&#1102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P-common\&#1059;&#1087;&#1088;%20&#1082;&#1086;&#1088;&#1087;&#1086;&#1088;&#1072;&#1090;&#1080;&#1074;&#1085;&#1086;&#1075;&#1086;%20&#1073;&#1080;&#1079;&#1085;&#1077;&#1089;&#1072;\3.%20&#1050;&#1086;&#1084;&#1080;&#1089;&#1089;&#1080;&#1086;&#1085;&#1085;&#1099;&#1077;%20&#1087;&#1088;&#1086;&#1076;&#1091;&#1082;&#1090;&#1099;\4.%20&#1054;&#1090;&#1082;&#1088;&#1099;&#1090;&#1080;&#1077;%20&#1089;&#1095;&#1077;&#1090;&#1086;&#1074;\&#1057;&#1095;&#1077;&#1090;%20&#1086;&#1088;&#1075;&#1072;&#1085;&#1080;&#1079;&#1072;&#1094;&#1080;&#1080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9;&#1050;&#1069;&#1050;&#1050;\&#1054;&#1060;&#1052;&#1041;\&#1057;&#1072;&#1074;&#1080;&#1083;&#1086;\&#1055;&#1086;&#1083;&#1086;&#1078;&#1077;&#1085;&#1080;&#1077;%20&#1101;&#1082;&#1089;&#1087;&#1088;&#1077;&#1089;&#1089;%20&#1086;&#1073;&#1097;&#1077;&#1077;\&#1050;&#1086;&#1087;&#1080;&#1103;%20&#1055;&#1072;&#1082;&#1077;&#1090;%20&#1076;&#1086;&#1082;&#1091;&#1084;&#1077;&#1085;&#1090;&#1086;&#1074;%20&#1076;&#1083;&#1103;%20&#1070;&#1088;&#1051;&#1080;&#1094;&#1072;%20&#1087;&#1086;%20&#1101;&#1082;&#1089;&#1087;&#1088;&#1077;&#1089;&#1089;-&#1082;&#1088;&#1077;&#1076;&#1080;&#1090;&#109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KRAMAR~1\LOCALS~1\Temp\Rar$DI50.2078\19&#1047;&#1072;&#1082;&#1083;&#1102;&#1095;&#1077;&#1085;&#1080;&#1077;_&#1085;&#1072;_&#1088;&#1072;&#1079;&#1074;&#1080;&#1090;&#1080;&#1077;_&#1073;&#1080;&#1079;&#1085;&#1077;&#1089;&#1072;+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9;&#1050;&#1069;&#1050;&#1050;\&#1054;&#1060;&#1052;&#1041;\&#1057;&#1072;&#1074;&#1080;&#1083;&#1086;\&#1041;&#1056;\&#1055;&#1088;&#1086;&#1077;&#1082;&#1090;&#1099;\&#1060;&#1072;&#1088;&#1084;&#1072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9;&#1050;&#1069;&#1050;&#1050;\&#1054;&#1060;&#1052;&#1041;\&#1057;&#1072;&#1074;&#1080;&#1083;&#1086;\&#1055;&#1086;&#1083;&#1086;&#1078;&#1077;&#1085;&#1080;&#1077;%20&#1101;&#1082;&#1089;&#1087;&#1088;&#1077;&#1089;&#1089;%20&#1086;&#1073;&#1097;&#1077;&#1077;\&#1055;&#1072;&#1082;&#1077;&#1090;%20&#1076;&#1086;&#1082;&#1086;&#1074;%20&#1041;&#105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аз № 82 Приложение forma($3"/>
      <sheetName val="Резюме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лючение"/>
      <sheetName val="инфо"/>
      <sheetName val="График платежей"/>
      <sheetName val="Cash Flow"/>
      <sheetName val="План проекта"/>
      <sheetName val="Расчет лимита овердрафта"/>
    </sheetNames>
    <sheetDataSet>
      <sheetData sheetId="0"/>
      <sheetData sheetId="1" refreshError="1"/>
      <sheetData sheetId="2">
        <row r="89">
          <cell r="A89">
            <v>68</v>
          </cell>
        </row>
        <row r="90">
          <cell r="A90">
            <v>69</v>
          </cell>
        </row>
        <row r="91">
          <cell r="A91">
            <v>70</v>
          </cell>
        </row>
        <row r="92">
          <cell r="A92">
            <v>71</v>
          </cell>
        </row>
        <row r="93">
          <cell r="A93">
            <v>72</v>
          </cell>
        </row>
        <row r="95">
          <cell r="A95">
            <v>73</v>
          </cell>
        </row>
        <row r="96">
          <cell r="A96">
            <v>74</v>
          </cell>
        </row>
        <row r="97">
          <cell r="A97">
            <v>75</v>
          </cell>
        </row>
        <row r="98">
          <cell r="A98">
            <v>76</v>
          </cell>
        </row>
        <row r="99">
          <cell r="A99">
            <v>77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"/>
      <sheetName val="НВКЛ"/>
      <sheetName val="ВКЛ"/>
      <sheetName val="Овер"/>
      <sheetName val="Гарантия "/>
      <sheetName val="Вв-выв залога"/>
      <sheetName val="Измен %ставки"/>
      <sheetName val="Изм лим овер"/>
      <sheetName val="Обеспеченность"/>
      <sheetName val="Досроч пог"/>
      <sheetName val="Отказ от штраф"/>
      <sheetName val="Лимит самост анализа"/>
      <sheetName val="ЖурналМонит"/>
      <sheetName val="прочие вопросы"/>
      <sheetName val="заявка юл"/>
    </sheetNames>
    <sheetDataSet>
      <sheetData sheetId="0">
        <row r="107">
          <cell r="A107" t="str">
            <v>СОГЛАСОВАНИЕ ПРОЕКТА</v>
          </cell>
        </row>
        <row r="108">
          <cell r="A108" t="str">
            <v xml:space="preserve">Сотрудник отдела контроля технологии кредитования </v>
          </cell>
        </row>
        <row r="181">
          <cell r="A181" t="str">
            <v>ежемесячно равными долями</v>
          </cell>
        </row>
        <row r="182">
          <cell r="A182" t="str">
            <v>ежемесячный аннуитет</v>
          </cell>
        </row>
        <row r="183">
          <cell r="A183" t="str">
            <v>индивидуальный график</v>
          </cell>
        </row>
        <row r="190">
          <cell r="A190" t="str">
            <v>раз в 3 месяца</v>
          </cell>
        </row>
        <row r="191">
          <cell r="A191" t="str">
            <v>раз в 6 месяцев</v>
          </cell>
        </row>
        <row r="192">
          <cell r="A192" t="str">
            <v>раз в 12 месяцев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документов_список"/>
      <sheetName val="Перечень документов_схема"/>
      <sheetName val="Заявка_ЮЛ"/>
      <sheetName val="Согласие НБ и МВД ЮЛ"/>
      <sheetName val="Согласие НБ МВД директор"/>
      <sheetName val="Анкета поручителя"/>
      <sheetName val="Согласие НБ и МВД Поручитель"/>
    </sheetNames>
    <sheetDataSet>
      <sheetData sheetId="0"/>
      <sheetData sheetId="1"/>
      <sheetData sheetId="2">
        <row r="110">
          <cell r="C110" t="str">
            <v>Да</v>
          </cell>
          <cell r="E110" t="str">
            <v>Офис</v>
          </cell>
        </row>
        <row r="111">
          <cell r="C111" t="str">
            <v>Нет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документов_список"/>
      <sheetName val="Перечень документов_схема"/>
      <sheetName val="Заявка_ЮЛ"/>
      <sheetName val="Согласие НБ и МВД ЮЛ"/>
      <sheetName val="Согласие НБ МВД директор"/>
      <sheetName val="Анкета поручителя"/>
      <sheetName val="Согласие НБ и МВД Поручитель"/>
      <sheetName val="анкета"/>
    </sheetNames>
    <sheetDataSet>
      <sheetData sheetId="0"/>
      <sheetData sheetId="1"/>
      <sheetData sheetId="2">
        <row r="110">
          <cell r="C110" t="str">
            <v>Да</v>
          </cell>
          <cell r="E110" t="str">
            <v>Офис</v>
          </cell>
        </row>
        <row r="111">
          <cell r="C111" t="str">
            <v>Нет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документов_список"/>
      <sheetName val="Перечень документов_схема"/>
      <sheetName val="Заявка_ЮЛ"/>
      <sheetName val="Согласие НБ и МВД ЮЛ"/>
      <sheetName val="Согласие НБ МВД директор"/>
      <sheetName val="Анкета поручителя"/>
      <sheetName val="Согласие НБ и МВД Поручитель"/>
    </sheetNames>
    <sheetDataSet>
      <sheetData sheetId="0"/>
      <sheetData sheetId="1"/>
      <sheetData sheetId="2">
        <row r="106">
          <cell r="C106" t="str">
            <v>Да</v>
          </cell>
          <cell r="E106" t="str">
            <v>Офис</v>
          </cell>
        </row>
        <row r="107">
          <cell r="C107" t="str">
            <v>Нет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кет документов ЮЛ"/>
      <sheetName val="Пакет документов ИП"/>
      <sheetName val="Перечень документов_схема"/>
      <sheetName val="Заявка_ЮЛ"/>
      <sheetName val="Согласие НБ и МВД ЮЛ"/>
      <sheetName val="Согласие НБ МВД директор"/>
      <sheetName val="Анкета поручителя"/>
      <sheetName val="Согласие НБ и МВД Поручитель"/>
      <sheetName val="заключение ЮЛ+ИП"/>
      <sheetName val="рабочий"/>
      <sheetName val="проект решения КК"/>
      <sheetName val="КД ВКЛ"/>
      <sheetName val="КД овер"/>
      <sheetName val="без копеек"/>
      <sheetName val="ДП овер+вкл"/>
      <sheetName val="обороты счета в бел"/>
      <sheetName val="обороты счета в долл"/>
      <sheetName val="обороты счета в евро"/>
      <sheetName val="обороты счета в росс"/>
      <sheetName val="закл о мониторинге"/>
      <sheetName val="Кредит"/>
    </sheetNames>
    <sheetDataSet>
      <sheetData sheetId="0"/>
      <sheetData sheetId="1"/>
      <sheetData sheetId="2"/>
      <sheetData sheetId="3">
        <row r="116">
          <cell r="C116" t="str">
            <v>Да</v>
          </cell>
          <cell r="E116" t="str">
            <v>Офис</v>
          </cell>
        </row>
        <row r="117">
          <cell r="C117" t="str">
            <v>Нет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Вопросник"/>
      <sheetName val="Заявление"/>
      <sheetName val="Согласие"/>
      <sheetName val="Карточка подписей"/>
      <sheetName val="Предупреждение"/>
      <sheetName val="ИБ"/>
      <sheetName val="акт передачи ЭЦП"/>
      <sheetName val="Уведомление"/>
      <sheetName val="Заявка_ЮЛ"/>
    </sheetNames>
    <sheetDataSet>
      <sheetData sheetId="0">
        <row r="10">
          <cell r="L10">
            <v>43910</v>
          </cell>
        </row>
        <row r="101">
          <cell r="D101">
            <v>102</v>
          </cell>
          <cell r="E101" t="str">
            <v>ИМНС по Заводскому району г.Минска</v>
          </cell>
        </row>
        <row r="102">
          <cell r="D102">
            <v>103</v>
          </cell>
          <cell r="E102" t="str">
            <v xml:space="preserve">ИМНС по Ленинскому району г.Минска           </v>
          </cell>
        </row>
        <row r="103">
          <cell r="D103">
            <v>104</v>
          </cell>
          <cell r="E103" t="str">
            <v>ИМНС по Московскому району г.Минска</v>
          </cell>
        </row>
        <row r="104">
          <cell r="D104">
            <v>105</v>
          </cell>
          <cell r="E104" t="str">
            <v>ИМНС по Октябрьскому району г.Минска</v>
          </cell>
        </row>
        <row r="105">
          <cell r="D105">
            <v>106</v>
          </cell>
          <cell r="E105" t="str">
            <v xml:space="preserve">ИМНС по Партизанскому району г.Минска </v>
          </cell>
        </row>
        <row r="106">
          <cell r="D106">
            <v>107</v>
          </cell>
          <cell r="E106" t="str">
            <v>ИМНС по Первомайскому району г.Минска</v>
          </cell>
        </row>
        <row r="107">
          <cell r="D107">
            <v>108</v>
          </cell>
          <cell r="E107" t="str">
            <v>ИМНС по Советскому району г.Минска</v>
          </cell>
        </row>
        <row r="108">
          <cell r="D108">
            <v>109</v>
          </cell>
          <cell r="E108" t="str">
            <v>ИМНС по Фрунзенскому району г.Минска N 2</v>
          </cell>
        </row>
        <row r="109">
          <cell r="D109">
            <v>111</v>
          </cell>
          <cell r="E109" t="str">
            <v>ИМНС по Центральному району г.Минска</v>
          </cell>
        </row>
        <row r="110">
          <cell r="D110">
            <v>112</v>
          </cell>
          <cell r="E110" t="str">
            <v>ИМНС по Фрунзенскому району г.Минска N 1</v>
          </cell>
        </row>
        <row r="111">
          <cell r="D111">
            <v>202</v>
          </cell>
          <cell r="E111" t="str">
            <v>ИМНС по Барановичскому району</v>
          </cell>
        </row>
        <row r="112">
          <cell r="D112">
            <v>203</v>
          </cell>
          <cell r="E112" t="str">
            <v>ИМНС по Березовскому району</v>
          </cell>
        </row>
        <row r="113">
          <cell r="D113">
            <v>204</v>
          </cell>
          <cell r="E113" t="str">
            <v>ИМНС по Брестскому району</v>
          </cell>
        </row>
        <row r="114">
          <cell r="D114">
            <v>205</v>
          </cell>
          <cell r="E114" t="str">
            <v>ИМНС по Ганцевичскому району</v>
          </cell>
        </row>
        <row r="115">
          <cell r="D115">
            <v>206</v>
          </cell>
          <cell r="E115" t="str">
            <v>ИМНС по Дрогичинскому району</v>
          </cell>
        </row>
        <row r="116">
          <cell r="D116">
            <v>207</v>
          </cell>
          <cell r="E116" t="str">
            <v>ИМНС по Жабинковскому району</v>
          </cell>
        </row>
        <row r="117">
          <cell r="D117">
            <v>208</v>
          </cell>
          <cell r="E117" t="str">
            <v>ИМНС по Ивановскому району</v>
          </cell>
        </row>
        <row r="118">
          <cell r="D118">
            <v>209</v>
          </cell>
          <cell r="E118" t="str">
            <v>ИМНС по Ивацевичскому району</v>
          </cell>
        </row>
        <row r="119">
          <cell r="D119">
            <v>211</v>
          </cell>
          <cell r="E119" t="str">
            <v>ИМНС по Каменецкому району</v>
          </cell>
        </row>
        <row r="120">
          <cell r="D120">
            <v>213</v>
          </cell>
          <cell r="E120" t="str">
            <v>ИМНС по Лунинецкому району</v>
          </cell>
        </row>
        <row r="121">
          <cell r="D121">
            <v>214</v>
          </cell>
          <cell r="E121" t="str">
            <v>ИМНС по Ляховичскому району</v>
          </cell>
        </row>
        <row r="122">
          <cell r="D122">
            <v>215</v>
          </cell>
          <cell r="E122" t="str">
            <v>ИМНС по Малоритскому району</v>
          </cell>
        </row>
        <row r="123">
          <cell r="D123">
            <v>216</v>
          </cell>
          <cell r="E123" t="str">
            <v>ИМНС по Пинскому району</v>
          </cell>
        </row>
        <row r="124">
          <cell r="D124">
            <v>217</v>
          </cell>
          <cell r="E124" t="str">
            <v>ИМНС по Пружанскому району</v>
          </cell>
        </row>
        <row r="125">
          <cell r="D125">
            <v>218</v>
          </cell>
          <cell r="E125" t="str">
            <v>ИМНС по Столинскому району</v>
          </cell>
        </row>
        <row r="126">
          <cell r="D126">
            <v>232</v>
          </cell>
          <cell r="E126" t="str">
            <v>ИМНС по Ленинскому району г.Бреста</v>
          </cell>
        </row>
        <row r="127">
          <cell r="D127">
            <v>233</v>
          </cell>
          <cell r="E127" t="str">
            <v>ИМНС по Московскому району г.Бреста</v>
          </cell>
        </row>
        <row r="128">
          <cell r="D128">
            <v>241</v>
          </cell>
          <cell r="E128" t="str">
            <v>ИМНС по г.Барановичи</v>
          </cell>
        </row>
        <row r="129">
          <cell r="D129">
            <v>251</v>
          </cell>
          <cell r="E129" t="str">
            <v>ИМНС по Кобринскому району</v>
          </cell>
        </row>
        <row r="130">
          <cell r="D130">
            <v>271</v>
          </cell>
          <cell r="E130" t="str">
            <v>ИМНС по г.Пинску</v>
          </cell>
        </row>
        <row r="131">
          <cell r="D131">
            <v>302</v>
          </cell>
          <cell r="E131" t="str">
            <v>ИМНС по Бешенковичскому району</v>
          </cell>
        </row>
        <row r="132">
          <cell r="D132">
            <v>303</v>
          </cell>
          <cell r="E132" t="str">
            <v>ИМНС по Браславскому району</v>
          </cell>
        </row>
        <row r="133">
          <cell r="D133">
            <v>304</v>
          </cell>
          <cell r="E133" t="str">
            <v>ИМНС по Верхнедвинскому району</v>
          </cell>
        </row>
        <row r="134">
          <cell r="D134">
            <v>305</v>
          </cell>
          <cell r="E134" t="str">
            <v>ИМНС по Витебскому району</v>
          </cell>
        </row>
        <row r="135">
          <cell r="D135">
            <v>306</v>
          </cell>
          <cell r="E135" t="str">
            <v>ИМНС по Глубокскому району</v>
          </cell>
        </row>
        <row r="136">
          <cell r="D136">
            <v>307</v>
          </cell>
          <cell r="E136" t="str">
            <v>ИМНС по Городокскому району</v>
          </cell>
        </row>
        <row r="137">
          <cell r="D137">
            <v>308</v>
          </cell>
          <cell r="E137" t="str">
            <v>ИМНС по Докшицкому району</v>
          </cell>
        </row>
        <row r="138">
          <cell r="D138">
            <v>309</v>
          </cell>
          <cell r="E138" t="str">
            <v>ИМНС по Дубровенскому району</v>
          </cell>
        </row>
        <row r="139">
          <cell r="D139">
            <v>311</v>
          </cell>
          <cell r="E139" t="str">
            <v>ИМНС по Лиозненскому району</v>
          </cell>
        </row>
        <row r="140">
          <cell r="D140">
            <v>312</v>
          </cell>
          <cell r="E140" t="str">
            <v>ИМНС по Миорскому району</v>
          </cell>
        </row>
        <row r="141">
          <cell r="D141">
            <v>313</v>
          </cell>
          <cell r="E141" t="str">
            <v>ИМНС по Оршанскому району</v>
          </cell>
        </row>
        <row r="142">
          <cell r="D142">
            <v>314</v>
          </cell>
          <cell r="E142" t="str">
            <v>ИМНС по Полоцкому району</v>
          </cell>
        </row>
        <row r="143">
          <cell r="D143">
            <v>315</v>
          </cell>
          <cell r="E143" t="str">
            <v>ИМНС по Поставскому району</v>
          </cell>
        </row>
        <row r="144">
          <cell r="D144">
            <v>316</v>
          </cell>
          <cell r="E144" t="str">
            <v>ИМНС по Россонскому району</v>
          </cell>
        </row>
        <row r="145">
          <cell r="D145">
            <v>317</v>
          </cell>
          <cell r="E145" t="str">
            <v>ИМНС по Сенненскому району</v>
          </cell>
        </row>
        <row r="146">
          <cell r="D146">
            <v>318</v>
          </cell>
          <cell r="E146" t="str">
            <v>ИМНС по Толочинскому району</v>
          </cell>
        </row>
        <row r="147">
          <cell r="D147">
            <v>319</v>
          </cell>
          <cell r="E147" t="str">
            <v>ИМНС по Ушачскому району</v>
          </cell>
        </row>
        <row r="148">
          <cell r="D148">
            <v>321</v>
          </cell>
          <cell r="E148" t="str">
            <v>ИМНС по Чашникскому району</v>
          </cell>
        </row>
        <row r="149">
          <cell r="D149">
            <v>322</v>
          </cell>
          <cell r="E149" t="str">
            <v>ИМНС по Шарковщинскому району</v>
          </cell>
        </row>
        <row r="150">
          <cell r="D150">
            <v>323</v>
          </cell>
          <cell r="E150" t="str">
            <v>ИМНС по Шумилинскому району</v>
          </cell>
        </row>
        <row r="151">
          <cell r="D151">
            <v>341</v>
          </cell>
          <cell r="E151" t="str">
            <v>ИМНС по г.Лепелю</v>
          </cell>
        </row>
        <row r="152">
          <cell r="D152">
            <v>351</v>
          </cell>
          <cell r="E152" t="str">
            <v>ИМНС по г.Новополоцку</v>
          </cell>
        </row>
        <row r="153">
          <cell r="D153">
            <v>362</v>
          </cell>
          <cell r="E153" t="str">
            <v>ИМНС по Железнодорожному району г.Витебска</v>
          </cell>
        </row>
        <row r="154">
          <cell r="D154">
            <v>363</v>
          </cell>
          <cell r="E154" t="str">
            <v>ИМНС по Октябрьскому району г.Витебска</v>
          </cell>
        </row>
        <row r="155">
          <cell r="D155">
            <v>364</v>
          </cell>
          <cell r="E155" t="str">
            <v>ИМНС по Первомайскому району г.Витебска</v>
          </cell>
        </row>
        <row r="156">
          <cell r="D156">
            <v>371</v>
          </cell>
          <cell r="E156" t="str">
            <v>ИМНС по г.Орше</v>
          </cell>
        </row>
        <row r="157">
          <cell r="D157">
            <v>381</v>
          </cell>
          <cell r="E157" t="str">
            <v>ИМНС по г.Полоцку</v>
          </cell>
        </row>
        <row r="158">
          <cell r="D158">
            <v>402</v>
          </cell>
          <cell r="E158" t="str">
            <v>ИМНС по Брагинскому району</v>
          </cell>
        </row>
        <row r="159">
          <cell r="D159">
            <v>403</v>
          </cell>
          <cell r="E159" t="str">
            <v>ИМНС по Буда-Кошелевскому району</v>
          </cell>
        </row>
        <row r="160">
          <cell r="D160">
            <v>404</v>
          </cell>
          <cell r="E160" t="str">
            <v>ИМНС по Ветковскому району</v>
          </cell>
        </row>
        <row r="161">
          <cell r="D161">
            <v>405</v>
          </cell>
          <cell r="E161" t="str">
            <v>ИМНС по Гомельскому району</v>
          </cell>
        </row>
        <row r="162">
          <cell r="D162">
            <v>406</v>
          </cell>
          <cell r="E162" t="str">
            <v>ИМНС по Добрушскому району</v>
          </cell>
        </row>
        <row r="163">
          <cell r="D163">
            <v>407</v>
          </cell>
          <cell r="E163" t="str">
            <v>ИМНС по Ельскому району</v>
          </cell>
        </row>
        <row r="164">
          <cell r="D164">
            <v>408</v>
          </cell>
          <cell r="E164" t="str">
            <v>ИМНС по Житковичскому району</v>
          </cell>
        </row>
        <row r="165">
          <cell r="D165">
            <v>409</v>
          </cell>
          <cell r="E165" t="str">
            <v>ИМНС по Жлобинскому району</v>
          </cell>
        </row>
        <row r="166">
          <cell r="D166">
            <v>411</v>
          </cell>
          <cell r="E166" t="str">
            <v>ИМНС по Калинковичскому району</v>
          </cell>
        </row>
        <row r="167">
          <cell r="D167">
            <v>412</v>
          </cell>
          <cell r="E167" t="str">
            <v>ИМНС по Кормянскому району</v>
          </cell>
        </row>
        <row r="168">
          <cell r="D168">
            <v>413</v>
          </cell>
          <cell r="E168" t="str">
            <v>ИМНС по Лельчицкому району</v>
          </cell>
        </row>
        <row r="169">
          <cell r="D169">
            <v>414</v>
          </cell>
          <cell r="E169" t="str">
            <v>ИМНС по Лоевскому району</v>
          </cell>
        </row>
        <row r="170">
          <cell r="D170">
            <v>415</v>
          </cell>
          <cell r="E170" t="str">
            <v>ИМНС по Мозырскому району</v>
          </cell>
        </row>
        <row r="171">
          <cell r="D171">
            <v>416</v>
          </cell>
          <cell r="E171" t="str">
            <v>ИМНС по Наровлянскому району</v>
          </cell>
        </row>
        <row r="172">
          <cell r="D172">
            <v>417</v>
          </cell>
          <cell r="E172" t="str">
            <v>ИМНС по Октябрьскому району</v>
          </cell>
        </row>
        <row r="173">
          <cell r="D173">
            <v>418</v>
          </cell>
          <cell r="E173" t="str">
            <v>ИМНС по Петриковскому району</v>
          </cell>
        </row>
        <row r="174">
          <cell r="D174">
            <v>419</v>
          </cell>
          <cell r="E174" t="str">
            <v>ИМНС по Речицкому району</v>
          </cell>
        </row>
        <row r="175">
          <cell r="D175">
            <v>421</v>
          </cell>
          <cell r="E175" t="str">
            <v>ИМНС по Рогачевскому району</v>
          </cell>
        </row>
        <row r="176">
          <cell r="D176">
            <v>422</v>
          </cell>
          <cell r="E176" t="str">
            <v>ИМНС по Светлогорскому району</v>
          </cell>
        </row>
        <row r="177">
          <cell r="D177">
            <v>423</v>
          </cell>
          <cell r="E177" t="str">
            <v>ИМНС по Хойникскому району</v>
          </cell>
        </row>
        <row r="178">
          <cell r="D178">
            <v>424</v>
          </cell>
          <cell r="E178" t="str">
            <v>ИМНС по Чечерскому району</v>
          </cell>
        </row>
        <row r="179">
          <cell r="D179">
            <v>432</v>
          </cell>
          <cell r="E179" t="str">
            <v>ИМНС по Железнодорожному району г.Гомеля</v>
          </cell>
        </row>
        <row r="180">
          <cell r="D180">
            <v>433</v>
          </cell>
          <cell r="E180" t="str">
            <v>ИМНС по Новобелицкому району г.Гомеля</v>
          </cell>
        </row>
        <row r="181">
          <cell r="D181">
            <v>434</v>
          </cell>
          <cell r="E181" t="str">
            <v>ИМНС по Советскому району г.Гомеля</v>
          </cell>
        </row>
        <row r="182">
          <cell r="D182">
            <v>435</v>
          </cell>
          <cell r="E182" t="str">
            <v>ИМНС по Центральному району г.Гомеля</v>
          </cell>
        </row>
        <row r="183">
          <cell r="D183">
            <v>471</v>
          </cell>
          <cell r="E183" t="str">
            <v>ИМНС по г.Мозырю</v>
          </cell>
        </row>
        <row r="184">
          <cell r="D184">
            <v>502</v>
          </cell>
          <cell r="E184" t="str">
            <v>ИМНС по Берестовицкому району</v>
          </cell>
        </row>
        <row r="185">
          <cell r="D185">
            <v>503</v>
          </cell>
          <cell r="E185" t="str">
            <v>ИМНС по Волковысскому району</v>
          </cell>
        </row>
        <row r="186">
          <cell r="D186">
            <v>504</v>
          </cell>
          <cell r="E186" t="str">
            <v>ИМНС по Вороновскому району</v>
          </cell>
        </row>
        <row r="187">
          <cell r="D187">
            <v>505</v>
          </cell>
          <cell r="E187" t="str">
            <v>ИМНС по Гродненскому району</v>
          </cell>
        </row>
        <row r="188">
          <cell r="D188">
            <v>506</v>
          </cell>
          <cell r="E188" t="str">
            <v>ИМНС по Дятловскому району</v>
          </cell>
        </row>
        <row r="189">
          <cell r="D189">
            <v>507</v>
          </cell>
          <cell r="E189" t="str">
            <v>ИМНС по Зельвенскому району</v>
          </cell>
        </row>
        <row r="190">
          <cell r="D190">
            <v>508</v>
          </cell>
          <cell r="E190" t="str">
            <v>ИМНС по Ивьевскому району</v>
          </cell>
        </row>
        <row r="191">
          <cell r="D191">
            <v>509</v>
          </cell>
          <cell r="E191" t="str">
            <v>ИМНС по Кореличскому району</v>
          </cell>
        </row>
        <row r="192">
          <cell r="D192">
            <v>511</v>
          </cell>
          <cell r="E192" t="str">
            <v>ИМНС по Лидскому району</v>
          </cell>
        </row>
        <row r="193">
          <cell r="D193">
            <v>512</v>
          </cell>
          <cell r="E193" t="str">
            <v>ИМНС по Мостовскому району</v>
          </cell>
        </row>
        <row r="194">
          <cell r="D194">
            <v>513</v>
          </cell>
          <cell r="E194" t="str">
            <v>ИМНС по Новогрудскому району</v>
          </cell>
        </row>
        <row r="195">
          <cell r="D195">
            <v>514</v>
          </cell>
          <cell r="E195" t="str">
            <v>ИМНС по Островецкому району</v>
          </cell>
        </row>
        <row r="196">
          <cell r="D196">
            <v>515</v>
          </cell>
          <cell r="E196" t="str">
            <v>ИМНС по Ошмянскому району</v>
          </cell>
        </row>
        <row r="197">
          <cell r="D197">
            <v>516</v>
          </cell>
          <cell r="E197" t="str">
            <v>ИМНС по Свислочскому району</v>
          </cell>
        </row>
        <row r="198">
          <cell r="D198">
            <v>518</v>
          </cell>
          <cell r="E198" t="str">
            <v>ИМНС по Сморгонскому району</v>
          </cell>
        </row>
        <row r="199">
          <cell r="D199">
            <v>519</v>
          </cell>
          <cell r="E199" t="str">
            <v>ИМНС по Щучинскому району</v>
          </cell>
        </row>
        <row r="200">
          <cell r="D200">
            <v>542</v>
          </cell>
          <cell r="E200" t="str">
            <v>ИМНС по Ленинскому району г.Гродно</v>
          </cell>
        </row>
        <row r="201">
          <cell r="D201">
            <v>543</v>
          </cell>
          <cell r="E201" t="str">
            <v>ИМНС по Октябрьскому району г.Гродно</v>
          </cell>
        </row>
        <row r="202">
          <cell r="D202">
            <v>571</v>
          </cell>
          <cell r="E202" t="str">
            <v>ИМНС по Слонимскому району</v>
          </cell>
        </row>
        <row r="203">
          <cell r="D203">
            <v>602</v>
          </cell>
          <cell r="E203" t="str">
            <v>ИМНС по Березинскому району</v>
          </cell>
        </row>
        <row r="204">
          <cell r="D204">
            <v>603</v>
          </cell>
          <cell r="E204" t="str">
            <v>ИМНС по Борисовскому району</v>
          </cell>
        </row>
        <row r="205">
          <cell r="D205">
            <v>604</v>
          </cell>
          <cell r="E205" t="str">
            <v>ИМНС по Вилейскому району</v>
          </cell>
        </row>
        <row r="206">
          <cell r="D206">
            <v>605</v>
          </cell>
          <cell r="E206" t="str">
            <v>ИМНС по Воложинскому району</v>
          </cell>
        </row>
        <row r="207">
          <cell r="D207">
            <v>606</v>
          </cell>
          <cell r="E207" t="str">
            <v>ИМНС по Дзержинскому району</v>
          </cell>
        </row>
        <row r="208">
          <cell r="D208">
            <v>607</v>
          </cell>
          <cell r="E208" t="str">
            <v>ИМНС по Клецкому району</v>
          </cell>
        </row>
        <row r="209">
          <cell r="D209">
            <v>608</v>
          </cell>
          <cell r="E209" t="str">
            <v>ИМНС по Копыльскому району</v>
          </cell>
        </row>
        <row r="210">
          <cell r="D210">
            <v>609</v>
          </cell>
          <cell r="E210" t="str">
            <v>ИМНС по Крупскому району</v>
          </cell>
        </row>
        <row r="211">
          <cell r="D211">
            <v>611</v>
          </cell>
          <cell r="E211" t="str">
            <v>ИМНС по Логойскому району</v>
          </cell>
        </row>
        <row r="212">
          <cell r="D212">
            <v>612</v>
          </cell>
          <cell r="E212" t="str">
            <v>ИМНС по Любанскому району</v>
          </cell>
        </row>
        <row r="213">
          <cell r="D213">
            <v>613</v>
          </cell>
          <cell r="E213" t="str">
            <v>ИМНС по Минскому району</v>
          </cell>
        </row>
        <row r="214">
          <cell r="D214">
            <v>614</v>
          </cell>
          <cell r="E214" t="str">
            <v>ИМНС по Молодечненскому району</v>
          </cell>
        </row>
        <row r="215">
          <cell r="D215">
            <v>615</v>
          </cell>
          <cell r="E215" t="str">
            <v>ИМНС по Мядельскому району</v>
          </cell>
        </row>
        <row r="216">
          <cell r="D216">
            <v>616</v>
          </cell>
          <cell r="E216" t="str">
            <v>ИМНС по Несвижскому району</v>
          </cell>
        </row>
        <row r="217">
          <cell r="D217">
            <v>617</v>
          </cell>
          <cell r="E217" t="str">
            <v>ИМНС по Пуховичскому району</v>
          </cell>
        </row>
        <row r="218">
          <cell r="D218">
            <v>618</v>
          </cell>
          <cell r="E218" t="str">
            <v>ИМНС по Слуцкому району</v>
          </cell>
        </row>
        <row r="219">
          <cell r="D219">
            <v>619</v>
          </cell>
          <cell r="E219" t="str">
            <v>ИМНС по Смолевичскому району</v>
          </cell>
        </row>
        <row r="220">
          <cell r="D220">
            <v>621</v>
          </cell>
          <cell r="E220" t="str">
            <v>ИМНС по Солигорскому району</v>
          </cell>
        </row>
        <row r="221">
          <cell r="D221">
            <v>622</v>
          </cell>
          <cell r="E221" t="str">
            <v>ИМНС по Стародорожскому району</v>
          </cell>
        </row>
        <row r="222">
          <cell r="D222">
            <v>623</v>
          </cell>
          <cell r="E222" t="str">
            <v>ИМНС по Столбцовскому району</v>
          </cell>
        </row>
        <row r="223">
          <cell r="D223">
            <v>624</v>
          </cell>
          <cell r="E223" t="str">
            <v>ИМНС по Узденскому району</v>
          </cell>
        </row>
        <row r="224">
          <cell r="D224">
            <v>625</v>
          </cell>
          <cell r="E224" t="str">
            <v xml:space="preserve">ИМНС по Червенскому району                                </v>
          </cell>
        </row>
        <row r="225">
          <cell r="D225">
            <v>631</v>
          </cell>
          <cell r="E225" t="str">
            <v>ИМНС по г.Борисову</v>
          </cell>
        </row>
        <row r="226">
          <cell r="D226">
            <v>661</v>
          </cell>
          <cell r="E226" t="str">
            <v>ИМНС по г.Жодино</v>
          </cell>
        </row>
        <row r="227">
          <cell r="D227">
            <v>671</v>
          </cell>
          <cell r="E227" t="str">
            <v xml:space="preserve">ИМНС по г.Заславлю </v>
          </cell>
        </row>
        <row r="228">
          <cell r="D228">
            <v>691</v>
          </cell>
          <cell r="E228" t="str">
            <v>ИМНС по г.Слуцку</v>
          </cell>
        </row>
        <row r="229">
          <cell r="D229">
            <v>695</v>
          </cell>
          <cell r="E229" t="str">
            <v>ИМНС по г.Солигорску</v>
          </cell>
        </row>
        <row r="230">
          <cell r="D230">
            <v>702</v>
          </cell>
          <cell r="E230" t="str">
            <v>ИМНС по Белыничскому району</v>
          </cell>
        </row>
        <row r="231">
          <cell r="D231">
            <v>703</v>
          </cell>
          <cell r="E231" t="str">
            <v>ИМНС по Бобруйскому району</v>
          </cell>
        </row>
        <row r="232">
          <cell r="D232">
            <v>704</v>
          </cell>
          <cell r="E232" t="str">
            <v>ИМНС по Быховскому району</v>
          </cell>
        </row>
        <row r="233">
          <cell r="D233">
            <v>705</v>
          </cell>
          <cell r="E233" t="str">
            <v>ИМНС по Глусскому району</v>
          </cell>
        </row>
        <row r="234">
          <cell r="D234">
            <v>707</v>
          </cell>
          <cell r="E234" t="str">
            <v>ИМНС по Дрибинскому району</v>
          </cell>
        </row>
        <row r="235">
          <cell r="D235">
            <v>708</v>
          </cell>
          <cell r="E235" t="str">
            <v xml:space="preserve">ИМНС по Кировскому району                                 </v>
          </cell>
        </row>
        <row r="236">
          <cell r="D236">
            <v>709</v>
          </cell>
          <cell r="E236" t="str">
            <v>ИМНС по Климовичскому району</v>
          </cell>
        </row>
        <row r="237">
          <cell r="D237">
            <v>711</v>
          </cell>
          <cell r="E237" t="str">
            <v>ИМНС по Кличевскому району</v>
          </cell>
        </row>
        <row r="238">
          <cell r="D238">
            <v>712</v>
          </cell>
          <cell r="E238" t="str">
            <v>ИМНС по Костюковичскому району</v>
          </cell>
        </row>
        <row r="239">
          <cell r="D239">
            <v>713</v>
          </cell>
          <cell r="E239" t="str">
            <v>ИМНС по Краснопольскому району</v>
          </cell>
        </row>
        <row r="240">
          <cell r="D240">
            <v>715</v>
          </cell>
          <cell r="E240" t="str">
            <v>ИМНС по Круглянскому району</v>
          </cell>
        </row>
        <row r="241">
          <cell r="D241">
            <v>716</v>
          </cell>
          <cell r="E241" t="str">
            <v>ИМНС по Могилевскому району</v>
          </cell>
        </row>
        <row r="242">
          <cell r="D242">
            <v>717</v>
          </cell>
          <cell r="E242" t="str">
            <v>ИМНС по Мстиславскому району</v>
          </cell>
        </row>
        <row r="243">
          <cell r="D243">
            <v>718</v>
          </cell>
          <cell r="E243" t="str">
            <v>ИМНС по Осиповичскому району</v>
          </cell>
        </row>
        <row r="244">
          <cell r="D244">
            <v>719</v>
          </cell>
          <cell r="E244" t="str">
            <v>ИМНС по Славгородскому району</v>
          </cell>
        </row>
        <row r="245">
          <cell r="D245">
            <v>721</v>
          </cell>
          <cell r="E245" t="str">
            <v>ИМНС по Хотимскому району</v>
          </cell>
        </row>
        <row r="246">
          <cell r="D246">
            <v>722</v>
          </cell>
          <cell r="E246" t="str">
            <v>ИМНС по Чаусскому району</v>
          </cell>
        </row>
        <row r="247">
          <cell r="D247">
            <v>723</v>
          </cell>
          <cell r="E247" t="str">
            <v>ИМНС по Чериковскому району</v>
          </cell>
        </row>
        <row r="248">
          <cell r="D248">
            <v>724</v>
          </cell>
          <cell r="E248" t="str">
            <v>ИМНС по Шкловскому району</v>
          </cell>
        </row>
        <row r="249">
          <cell r="D249">
            <v>741</v>
          </cell>
          <cell r="E249" t="str">
            <v>ИМНС по г.Бобруйску</v>
          </cell>
        </row>
        <row r="250">
          <cell r="D250">
            <v>751</v>
          </cell>
          <cell r="E250" t="str">
            <v>ИМНС по Горецкому району</v>
          </cell>
        </row>
        <row r="251">
          <cell r="D251">
            <v>761</v>
          </cell>
          <cell r="E251" t="str">
            <v>ИМНС по Кричевскому району</v>
          </cell>
        </row>
        <row r="252">
          <cell r="D252">
            <v>772</v>
          </cell>
          <cell r="E252" t="str">
            <v>ИМНС по Ленинскому району г.Могилева N 1</v>
          </cell>
        </row>
        <row r="253">
          <cell r="D253">
            <v>773</v>
          </cell>
          <cell r="E253" t="str">
            <v>ИМНС по Октябрьскому району г.Могилева</v>
          </cell>
        </row>
        <row r="254">
          <cell r="D254">
            <v>774</v>
          </cell>
          <cell r="E254" t="str">
            <v>ИМНС по Ленинскому району г.Могилева N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вопросник"/>
      <sheetName val="заявление"/>
      <sheetName val="карточка"/>
      <sheetName val="согласие"/>
      <sheetName val="предупреждение"/>
      <sheetName val="ИБ"/>
      <sheetName val="уведомление"/>
      <sheetName val="Заявка_ЮЛ"/>
    </sheetNames>
    <sheetDataSet>
      <sheetData sheetId="0">
        <row r="7">
          <cell r="L7">
            <v>43747</v>
          </cell>
        </row>
        <row r="236">
          <cell r="A236">
            <v>102</v>
          </cell>
          <cell r="B236" t="str">
            <v>ИМНС по Заводскому району г.Минска</v>
          </cell>
        </row>
        <row r="237">
          <cell r="A237">
            <v>103</v>
          </cell>
          <cell r="B237" t="str">
            <v>ИМНС по Ленинскому району г.Минска</v>
          </cell>
        </row>
        <row r="238">
          <cell r="A238">
            <v>104</v>
          </cell>
          <cell r="B238" t="str">
            <v>ИМНС по Московскому району г.Минска</v>
          </cell>
        </row>
        <row r="239">
          <cell r="A239">
            <v>105</v>
          </cell>
          <cell r="B239" t="str">
            <v>ИМНС по Октябрьскому району г.Минска</v>
          </cell>
        </row>
        <row r="240">
          <cell r="A240">
            <v>106</v>
          </cell>
          <cell r="B240" t="str">
            <v>ИМНС по Партизанскому району г.Минска</v>
          </cell>
        </row>
        <row r="241">
          <cell r="A241">
            <v>107</v>
          </cell>
          <cell r="B241" t="str">
            <v>ИМНС по Первомайскому району г.Минска</v>
          </cell>
        </row>
        <row r="242">
          <cell r="A242">
            <v>108</v>
          </cell>
          <cell r="B242" t="str">
            <v>ИМНС по Советскому району г.Минска</v>
          </cell>
        </row>
        <row r="243">
          <cell r="A243">
            <v>109</v>
          </cell>
          <cell r="B243" t="str">
            <v>ИМНС по Фрунзенскому району г.Минска N 2</v>
          </cell>
        </row>
        <row r="244">
          <cell r="A244">
            <v>111</v>
          </cell>
          <cell r="B244" t="str">
            <v>ИМНС по Центральному району г.Минска</v>
          </cell>
        </row>
        <row r="245">
          <cell r="A245">
            <v>112</v>
          </cell>
          <cell r="B245" t="str">
            <v>ИМНС по Фрунзенскому району г.Минска N 1</v>
          </cell>
        </row>
        <row r="246">
          <cell r="A246">
            <v>202</v>
          </cell>
          <cell r="B246" t="str">
            <v>ИМНС по Барановичскому району</v>
          </cell>
        </row>
        <row r="247">
          <cell r="A247">
            <v>203</v>
          </cell>
          <cell r="B247" t="str">
            <v>ИМНС по Березовскому району</v>
          </cell>
        </row>
        <row r="248">
          <cell r="A248">
            <v>204</v>
          </cell>
          <cell r="B248" t="str">
            <v>ИМНС по Брестскому району</v>
          </cell>
        </row>
        <row r="249">
          <cell r="A249">
            <v>205</v>
          </cell>
          <cell r="B249" t="str">
            <v>ИМНС по Ганцевичскому району</v>
          </cell>
        </row>
        <row r="250">
          <cell r="A250">
            <v>206</v>
          </cell>
          <cell r="B250" t="str">
            <v>ИМНС по Дрогичинскому району</v>
          </cell>
        </row>
        <row r="251">
          <cell r="A251">
            <v>207</v>
          </cell>
          <cell r="B251" t="str">
            <v>ИМНС по Жабинковскому району</v>
          </cell>
        </row>
        <row r="252">
          <cell r="A252">
            <v>208</v>
          </cell>
          <cell r="B252" t="str">
            <v>ИМНС по Ивановскому району</v>
          </cell>
        </row>
        <row r="253">
          <cell r="A253">
            <v>209</v>
          </cell>
          <cell r="B253" t="str">
            <v>ИМНС по Ивацевичскому району</v>
          </cell>
        </row>
        <row r="254">
          <cell r="A254">
            <v>211</v>
          </cell>
          <cell r="B254" t="str">
            <v>ИМНС по Каменецкому району</v>
          </cell>
        </row>
        <row r="255">
          <cell r="A255">
            <v>213</v>
          </cell>
          <cell r="B255" t="str">
            <v>ИМНС по Лунинецкому району</v>
          </cell>
        </row>
        <row r="256">
          <cell r="A256">
            <v>214</v>
          </cell>
          <cell r="B256" t="str">
            <v>ИМНС по Ляховичскому району</v>
          </cell>
        </row>
        <row r="257">
          <cell r="A257">
            <v>215</v>
          </cell>
          <cell r="B257" t="str">
            <v>ИМНС по Малоритскому району</v>
          </cell>
        </row>
        <row r="258">
          <cell r="A258">
            <v>216</v>
          </cell>
          <cell r="B258" t="str">
            <v>ИМНС по Пинскому району</v>
          </cell>
        </row>
        <row r="259">
          <cell r="A259">
            <v>217</v>
          </cell>
          <cell r="B259" t="str">
            <v>ИМНС по Пружанскому району</v>
          </cell>
        </row>
        <row r="260">
          <cell r="A260">
            <v>218</v>
          </cell>
          <cell r="B260" t="str">
            <v>ИМНС по Столинскому району</v>
          </cell>
        </row>
        <row r="261">
          <cell r="A261">
            <v>232</v>
          </cell>
          <cell r="B261" t="str">
            <v>ИМНС по Ленинскому району г.Бреста</v>
          </cell>
        </row>
        <row r="262">
          <cell r="A262">
            <v>233</v>
          </cell>
          <cell r="B262" t="str">
            <v>ИМНС по Московскому району г.Бреста</v>
          </cell>
        </row>
        <row r="263">
          <cell r="A263">
            <v>241</v>
          </cell>
          <cell r="B263" t="str">
            <v>ИМНС по г.Барановичи</v>
          </cell>
        </row>
        <row r="264">
          <cell r="A264">
            <v>251</v>
          </cell>
          <cell r="B264" t="str">
            <v>ИМНС по Кобринскому району</v>
          </cell>
        </row>
        <row r="265">
          <cell r="A265">
            <v>271</v>
          </cell>
          <cell r="B265" t="str">
            <v>ИМНС по г.Пинску</v>
          </cell>
        </row>
        <row r="266">
          <cell r="A266">
            <v>302</v>
          </cell>
          <cell r="B266" t="str">
            <v>ИМНС по Бешенковичскому району</v>
          </cell>
        </row>
        <row r="267">
          <cell r="A267">
            <v>303</v>
          </cell>
          <cell r="B267" t="str">
            <v>ИМНС по Браславскому району</v>
          </cell>
        </row>
        <row r="268">
          <cell r="A268">
            <v>304</v>
          </cell>
          <cell r="B268" t="str">
            <v>ИМНС по Верхнедвинскому району</v>
          </cell>
        </row>
        <row r="269">
          <cell r="A269">
            <v>305</v>
          </cell>
          <cell r="B269" t="str">
            <v>ИМНС по Витебскому району</v>
          </cell>
        </row>
        <row r="270">
          <cell r="A270">
            <v>306</v>
          </cell>
          <cell r="B270" t="str">
            <v>ИМНС по Глубокскому району</v>
          </cell>
        </row>
        <row r="271">
          <cell r="A271">
            <v>307</v>
          </cell>
          <cell r="B271" t="str">
            <v>ИМНС по Городокскому району</v>
          </cell>
        </row>
        <row r="272">
          <cell r="A272">
            <v>308</v>
          </cell>
          <cell r="B272" t="str">
            <v>ИМНС по Докшицкому району</v>
          </cell>
        </row>
        <row r="273">
          <cell r="A273">
            <v>309</v>
          </cell>
          <cell r="B273" t="str">
            <v>ИМНС по Дубровенскому району</v>
          </cell>
        </row>
        <row r="274">
          <cell r="A274">
            <v>311</v>
          </cell>
          <cell r="B274" t="str">
            <v>ИМНС по Лиозненскому району</v>
          </cell>
        </row>
        <row r="275">
          <cell r="A275">
            <v>312</v>
          </cell>
          <cell r="B275" t="str">
            <v>ИМНС по Миорскому району</v>
          </cell>
        </row>
        <row r="276">
          <cell r="A276">
            <v>313</v>
          </cell>
          <cell r="B276" t="str">
            <v>ИМНС по Оршанскому району</v>
          </cell>
        </row>
        <row r="277">
          <cell r="A277">
            <v>314</v>
          </cell>
          <cell r="B277" t="str">
            <v>ИМНС по Полоцкому району</v>
          </cell>
        </row>
        <row r="278">
          <cell r="A278">
            <v>315</v>
          </cell>
          <cell r="B278" t="str">
            <v>ИМНС по Поставскому району</v>
          </cell>
        </row>
        <row r="279">
          <cell r="A279">
            <v>316</v>
          </cell>
          <cell r="B279" t="str">
            <v>ИМНС по Россонскому району</v>
          </cell>
        </row>
        <row r="280">
          <cell r="A280">
            <v>317</v>
          </cell>
          <cell r="B280" t="str">
            <v>ИМНС по Сенненскому району</v>
          </cell>
        </row>
        <row r="281">
          <cell r="A281">
            <v>318</v>
          </cell>
          <cell r="B281" t="str">
            <v>ИМНС по Толочинскому району</v>
          </cell>
        </row>
        <row r="282">
          <cell r="A282">
            <v>319</v>
          </cell>
          <cell r="B282" t="str">
            <v>ИМНС по Ушачскому району</v>
          </cell>
        </row>
        <row r="283">
          <cell r="A283">
            <v>321</v>
          </cell>
          <cell r="B283" t="str">
            <v>ИМНС по Чашникскому району</v>
          </cell>
        </row>
        <row r="284">
          <cell r="A284">
            <v>322</v>
          </cell>
          <cell r="B284" t="str">
            <v>ИМНС по Шарковщинскому району</v>
          </cell>
        </row>
        <row r="285">
          <cell r="A285">
            <v>323</v>
          </cell>
          <cell r="B285" t="str">
            <v>ИМНС по Шумилинскому району</v>
          </cell>
        </row>
        <row r="286">
          <cell r="A286">
            <v>341</v>
          </cell>
          <cell r="B286" t="str">
            <v>ИМНС по г.Лепелю</v>
          </cell>
        </row>
        <row r="287">
          <cell r="A287">
            <v>351</v>
          </cell>
          <cell r="B287" t="str">
            <v>ИМНС по г.Новополоцку</v>
          </cell>
        </row>
        <row r="288">
          <cell r="A288">
            <v>362</v>
          </cell>
          <cell r="B288" t="str">
            <v>ИМНС по Железнодорожному району г.Витебска</v>
          </cell>
        </row>
        <row r="289">
          <cell r="A289">
            <v>363</v>
          </cell>
          <cell r="B289" t="str">
            <v>ИМНС по Октябрьскому району г.Витебска</v>
          </cell>
        </row>
        <row r="290">
          <cell r="A290">
            <v>364</v>
          </cell>
          <cell r="B290" t="str">
            <v>ИМНС по Первомайскому району г.Витебска</v>
          </cell>
        </row>
        <row r="291">
          <cell r="A291">
            <v>371</v>
          </cell>
          <cell r="B291" t="str">
            <v>ИМНС по г.Орше</v>
          </cell>
        </row>
        <row r="292">
          <cell r="A292">
            <v>381</v>
          </cell>
          <cell r="B292" t="str">
            <v>ИМНС по г.Полоцку</v>
          </cell>
        </row>
        <row r="293">
          <cell r="A293">
            <v>402</v>
          </cell>
          <cell r="B293" t="str">
            <v>ИМНС по Брагинскому району</v>
          </cell>
        </row>
        <row r="294">
          <cell r="A294">
            <v>403</v>
          </cell>
          <cell r="B294" t="str">
            <v>ИМНС по Буда-Кошелевскому району</v>
          </cell>
        </row>
        <row r="295">
          <cell r="A295">
            <v>404</v>
          </cell>
          <cell r="B295" t="str">
            <v>ИМНС по Ветковскому району</v>
          </cell>
        </row>
        <row r="296">
          <cell r="A296">
            <v>405</v>
          </cell>
          <cell r="B296" t="str">
            <v>ИМНС по Гомельскому району</v>
          </cell>
        </row>
        <row r="297">
          <cell r="A297">
            <v>406</v>
          </cell>
          <cell r="B297" t="str">
            <v>ИМНС по Добрушскому району</v>
          </cell>
        </row>
        <row r="298">
          <cell r="A298">
            <v>407</v>
          </cell>
          <cell r="B298" t="str">
            <v>ИМНС по Ельскому району</v>
          </cell>
        </row>
        <row r="299">
          <cell r="A299">
            <v>408</v>
          </cell>
          <cell r="B299" t="str">
            <v>ИМНС по Житковичскому району</v>
          </cell>
        </row>
        <row r="300">
          <cell r="A300">
            <v>409</v>
          </cell>
          <cell r="B300" t="str">
            <v>ИМНС по Жлобинскому району</v>
          </cell>
        </row>
        <row r="301">
          <cell r="A301">
            <v>411</v>
          </cell>
          <cell r="B301" t="str">
            <v>ИМНС по Калинковичскому району</v>
          </cell>
        </row>
        <row r="302">
          <cell r="A302">
            <v>412</v>
          </cell>
          <cell r="B302" t="str">
            <v>ИМНС по Кормянскому району</v>
          </cell>
        </row>
        <row r="303">
          <cell r="A303">
            <v>413</v>
          </cell>
          <cell r="B303" t="str">
            <v>ИМНС по Лельчицкому району</v>
          </cell>
        </row>
        <row r="304">
          <cell r="A304">
            <v>414</v>
          </cell>
          <cell r="B304" t="str">
            <v>ИМНС по Лоевскому району</v>
          </cell>
        </row>
        <row r="305">
          <cell r="A305">
            <v>415</v>
          </cell>
          <cell r="B305" t="str">
            <v>ИМНС по Мозырскому району</v>
          </cell>
        </row>
        <row r="306">
          <cell r="A306">
            <v>416</v>
          </cell>
          <cell r="B306" t="str">
            <v>ИМНС по Наровлянскому району</v>
          </cell>
        </row>
        <row r="307">
          <cell r="A307">
            <v>417</v>
          </cell>
          <cell r="B307" t="str">
            <v>ИМНС по Октябрьскому району</v>
          </cell>
        </row>
        <row r="308">
          <cell r="A308">
            <v>418</v>
          </cell>
          <cell r="B308" t="str">
            <v>ИМНС по Петриковскому району</v>
          </cell>
        </row>
        <row r="309">
          <cell r="A309">
            <v>419</v>
          </cell>
          <cell r="B309" t="str">
            <v>ИМНС по Речицкому району</v>
          </cell>
        </row>
        <row r="310">
          <cell r="A310">
            <v>421</v>
          </cell>
          <cell r="B310" t="str">
            <v>ИМНС по Рогачевскому району</v>
          </cell>
        </row>
        <row r="311">
          <cell r="A311">
            <v>422</v>
          </cell>
          <cell r="B311" t="str">
            <v>ИМНС по Светлогорскому району</v>
          </cell>
        </row>
        <row r="312">
          <cell r="A312">
            <v>423</v>
          </cell>
          <cell r="B312" t="str">
            <v>ИМНС по Хойникскому району</v>
          </cell>
        </row>
        <row r="313">
          <cell r="A313">
            <v>424</v>
          </cell>
          <cell r="B313" t="str">
            <v>ИМНС по Чечерскому району</v>
          </cell>
        </row>
        <row r="314">
          <cell r="A314">
            <v>432</v>
          </cell>
          <cell r="B314" t="str">
            <v>ИМНС по Железнодорожному району г.Гомеля</v>
          </cell>
        </row>
        <row r="315">
          <cell r="A315">
            <v>433</v>
          </cell>
          <cell r="B315" t="str">
            <v>ИМНС по Новобелицкому району г.Гомеля</v>
          </cell>
        </row>
        <row r="316">
          <cell r="A316">
            <v>434</v>
          </cell>
          <cell r="B316" t="str">
            <v>ИМНС по Советскому району г.Гомеля</v>
          </cell>
        </row>
        <row r="317">
          <cell r="A317">
            <v>435</v>
          </cell>
          <cell r="B317" t="str">
            <v>ИМНС по Центральному району г.Гомеля</v>
          </cell>
        </row>
        <row r="318">
          <cell r="A318">
            <v>471</v>
          </cell>
          <cell r="B318" t="str">
            <v>ИМНС по г.Мозырю</v>
          </cell>
        </row>
        <row r="319">
          <cell r="A319">
            <v>502</v>
          </cell>
          <cell r="B319" t="str">
            <v>ИМНС по Берестовицкому району</v>
          </cell>
        </row>
        <row r="320">
          <cell r="A320">
            <v>503</v>
          </cell>
          <cell r="B320" t="str">
            <v>ИМНС по Волковысскому району</v>
          </cell>
        </row>
        <row r="321">
          <cell r="A321">
            <v>504</v>
          </cell>
          <cell r="B321" t="str">
            <v>ИМНС по Вороновскому району</v>
          </cell>
        </row>
        <row r="322">
          <cell r="A322">
            <v>505</v>
          </cell>
          <cell r="B322" t="str">
            <v>ИМНС по Гродненскому району</v>
          </cell>
        </row>
        <row r="323">
          <cell r="A323">
            <v>506</v>
          </cell>
          <cell r="B323" t="str">
            <v>ИМНС по Дятловскому району</v>
          </cell>
        </row>
        <row r="324">
          <cell r="A324">
            <v>507</v>
          </cell>
          <cell r="B324" t="str">
            <v>ИМНС по Зельвенскому району</v>
          </cell>
        </row>
        <row r="325">
          <cell r="A325">
            <v>508</v>
          </cell>
          <cell r="B325" t="str">
            <v>ИМНС по Ивьевскому району</v>
          </cell>
        </row>
        <row r="326">
          <cell r="A326">
            <v>509</v>
          </cell>
          <cell r="B326" t="str">
            <v>ИМНС по Кореличскому району</v>
          </cell>
        </row>
        <row r="327">
          <cell r="A327">
            <v>511</v>
          </cell>
          <cell r="B327" t="str">
            <v>ИМНС по Лидскому району</v>
          </cell>
        </row>
        <row r="328">
          <cell r="A328">
            <v>512</v>
          </cell>
          <cell r="B328" t="str">
            <v>ИМНС по Мостовскому району</v>
          </cell>
        </row>
        <row r="329">
          <cell r="A329">
            <v>513</v>
          </cell>
          <cell r="B329" t="str">
            <v>ИМНС по Новогрудскому району</v>
          </cell>
        </row>
        <row r="330">
          <cell r="A330">
            <v>514</v>
          </cell>
          <cell r="B330" t="str">
            <v>ИМНС по Островецкому району</v>
          </cell>
        </row>
        <row r="331">
          <cell r="A331">
            <v>515</v>
          </cell>
          <cell r="B331" t="str">
            <v>ИМНС по Ошмянскому району</v>
          </cell>
        </row>
        <row r="332">
          <cell r="A332">
            <v>516</v>
          </cell>
          <cell r="B332" t="str">
            <v>ИМНС по Свислочскому району</v>
          </cell>
        </row>
        <row r="333">
          <cell r="A333">
            <v>518</v>
          </cell>
          <cell r="B333" t="str">
            <v>ИМНС по Сморгонскому району</v>
          </cell>
        </row>
        <row r="334">
          <cell r="A334">
            <v>519</v>
          </cell>
          <cell r="B334" t="str">
            <v>ИМНС по Щучинскому району</v>
          </cell>
        </row>
        <row r="335">
          <cell r="A335">
            <v>542</v>
          </cell>
          <cell r="B335" t="str">
            <v>ИМНС по Ленинскому району г.Гродно</v>
          </cell>
        </row>
        <row r="336">
          <cell r="A336">
            <v>543</v>
          </cell>
          <cell r="B336" t="str">
            <v>ИМНС по Октябрьскому району г.Гродно</v>
          </cell>
        </row>
        <row r="337">
          <cell r="A337">
            <v>571</v>
          </cell>
          <cell r="B337" t="str">
            <v>ИМНС по Слонимскому району</v>
          </cell>
        </row>
        <row r="338">
          <cell r="A338">
            <v>602</v>
          </cell>
          <cell r="B338" t="str">
            <v>ИМНС по Березинскому району</v>
          </cell>
        </row>
        <row r="339">
          <cell r="A339">
            <v>603</v>
          </cell>
          <cell r="B339" t="str">
            <v>ИМНС по Борисовскому району</v>
          </cell>
        </row>
        <row r="340">
          <cell r="A340">
            <v>604</v>
          </cell>
          <cell r="B340" t="str">
            <v>ИМНС по Вилейскому району</v>
          </cell>
        </row>
        <row r="341">
          <cell r="A341">
            <v>605</v>
          </cell>
          <cell r="B341" t="str">
            <v>ИМНС по Воложинскому району</v>
          </cell>
        </row>
        <row r="342">
          <cell r="A342">
            <v>606</v>
          </cell>
          <cell r="B342" t="str">
            <v>ИМНС по Дзержинскому району</v>
          </cell>
        </row>
        <row r="343">
          <cell r="A343">
            <v>607</v>
          </cell>
          <cell r="B343" t="str">
            <v>ИМНС по Клецкому району</v>
          </cell>
        </row>
        <row r="344">
          <cell r="A344">
            <v>608</v>
          </cell>
          <cell r="B344" t="str">
            <v>ИМНС по Копыльскому району</v>
          </cell>
        </row>
        <row r="345">
          <cell r="A345">
            <v>609</v>
          </cell>
          <cell r="B345" t="str">
            <v>ИМНС по Крупскому району</v>
          </cell>
        </row>
        <row r="346">
          <cell r="A346">
            <v>611</v>
          </cell>
          <cell r="B346" t="str">
            <v>ИМНС по Логойскому району</v>
          </cell>
        </row>
        <row r="347">
          <cell r="A347">
            <v>612</v>
          </cell>
          <cell r="B347" t="str">
            <v>ИМНС по Любанскому району</v>
          </cell>
        </row>
        <row r="348">
          <cell r="A348">
            <v>613</v>
          </cell>
          <cell r="B348" t="str">
            <v>ИМНС по Минскому району</v>
          </cell>
        </row>
        <row r="349">
          <cell r="A349">
            <v>614</v>
          </cell>
          <cell r="B349" t="str">
            <v>ИМНС по Молодечненскому району</v>
          </cell>
        </row>
        <row r="350">
          <cell r="A350">
            <v>615</v>
          </cell>
          <cell r="B350" t="str">
            <v>ИМНС по Мядельскому району</v>
          </cell>
        </row>
        <row r="351">
          <cell r="A351">
            <v>616</v>
          </cell>
          <cell r="B351" t="str">
            <v>ИМНС по Несвижскому району</v>
          </cell>
        </row>
        <row r="352">
          <cell r="A352">
            <v>617</v>
          </cell>
          <cell r="B352" t="str">
            <v>ИМНС по Пуховичскому району</v>
          </cell>
        </row>
        <row r="353">
          <cell r="A353">
            <v>618</v>
          </cell>
          <cell r="B353" t="str">
            <v>ИМНС по Слуцкому району</v>
          </cell>
        </row>
        <row r="354">
          <cell r="A354">
            <v>619</v>
          </cell>
          <cell r="B354" t="str">
            <v>ИМНС по Смолевичскому району</v>
          </cell>
        </row>
        <row r="355">
          <cell r="A355">
            <v>621</v>
          </cell>
          <cell r="B355" t="str">
            <v>ИМНС по Солигорскому району</v>
          </cell>
        </row>
        <row r="356">
          <cell r="A356">
            <v>622</v>
          </cell>
          <cell r="B356" t="str">
            <v>ИМНС по Стародорожскому району</v>
          </cell>
        </row>
        <row r="357">
          <cell r="A357">
            <v>623</v>
          </cell>
          <cell r="B357" t="str">
            <v>ИМНС по Столбцовскому району</v>
          </cell>
        </row>
        <row r="358">
          <cell r="A358">
            <v>624</v>
          </cell>
          <cell r="B358" t="str">
            <v>ИМНС по Узденскому району</v>
          </cell>
        </row>
        <row r="359">
          <cell r="A359">
            <v>625</v>
          </cell>
          <cell r="B359" t="str">
            <v>ИМНС по Червенскому району</v>
          </cell>
        </row>
        <row r="360">
          <cell r="A360">
            <v>631</v>
          </cell>
          <cell r="B360" t="str">
            <v>ИМНС по г.Борисову</v>
          </cell>
        </row>
        <row r="361">
          <cell r="A361">
            <v>661</v>
          </cell>
          <cell r="B361" t="str">
            <v>ИМНС по г.Жодино</v>
          </cell>
        </row>
        <row r="362">
          <cell r="A362">
            <v>671</v>
          </cell>
          <cell r="B362" t="str">
            <v>ИМНС по г.Заславлю</v>
          </cell>
        </row>
        <row r="363">
          <cell r="A363">
            <v>691</v>
          </cell>
          <cell r="B363" t="str">
            <v>ИМНС по г.Слуцку</v>
          </cell>
        </row>
        <row r="364">
          <cell r="A364">
            <v>695</v>
          </cell>
          <cell r="B364" t="str">
            <v>ИМНС по г.Солигорску</v>
          </cell>
        </row>
        <row r="365">
          <cell r="A365">
            <v>702</v>
          </cell>
          <cell r="B365" t="str">
            <v>ИМНС по Белыничскому району</v>
          </cell>
        </row>
        <row r="366">
          <cell r="A366">
            <v>703</v>
          </cell>
          <cell r="B366" t="str">
            <v>ИМНС по Бобруйскому району</v>
          </cell>
        </row>
        <row r="367">
          <cell r="A367">
            <v>704</v>
          </cell>
          <cell r="B367" t="str">
            <v>ИМНС по Быховскому району</v>
          </cell>
        </row>
        <row r="368">
          <cell r="A368">
            <v>705</v>
          </cell>
          <cell r="B368" t="str">
            <v>ИМНС по Глусскому району</v>
          </cell>
        </row>
        <row r="369">
          <cell r="A369">
            <v>707</v>
          </cell>
          <cell r="B369" t="str">
            <v>ИМНС по Дрибинскому району</v>
          </cell>
        </row>
        <row r="370">
          <cell r="A370">
            <v>708</v>
          </cell>
          <cell r="B370" t="str">
            <v>ИМНС по Кировскому району</v>
          </cell>
        </row>
        <row r="371">
          <cell r="A371">
            <v>709</v>
          </cell>
          <cell r="B371" t="str">
            <v>ИМНС по Климовичскому району</v>
          </cell>
        </row>
        <row r="372">
          <cell r="A372">
            <v>711</v>
          </cell>
          <cell r="B372" t="str">
            <v>ИМНС по Кличевскому району</v>
          </cell>
        </row>
        <row r="373">
          <cell r="A373">
            <v>712</v>
          </cell>
          <cell r="B373" t="str">
            <v>ИМНС по Костюковичскому району</v>
          </cell>
        </row>
        <row r="374">
          <cell r="A374">
            <v>713</v>
          </cell>
          <cell r="B374" t="str">
            <v>ИМНС по Краснопольскому району</v>
          </cell>
        </row>
        <row r="375">
          <cell r="A375">
            <v>715</v>
          </cell>
          <cell r="B375" t="str">
            <v>ИМНС по Круглянскому району</v>
          </cell>
        </row>
        <row r="376">
          <cell r="A376">
            <v>716</v>
          </cell>
          <cell r="B376" t="str">
            <v>ИМНС по Могилевскому району</v>
          </cell>
        </row>
        <row r="377">
          <cell r="A377">
            <v>717</v>
          </cell>
          <cell r="B377" t="str">
            <v>ИМНС по Мстиславскому району</v>
          </cell>
        </row>
        <row r="378">
          <cell r="A378">
            <v>718</v>
          </cell>
          <cell r="B378" t="str">
            <v>ИМНС по Осиповичскому району</v>
          </cell>
        </row>
        <row r="379">
          <cell r="A379">
            <v>719</v>
          </cell>
          <cell r="B379" t="str">
            <v>ИМНС по Славгородскому району</v>
          </cell>
        </row>
        <row r="380">
          <cell r="A380">
            <v>721</v>
          </cell>
          <cell r="B380" t="str">
            <v>ИМНС по Хотимскому району</v>
          </cell>
        </row>
        <row r="381">
          <cell r="A381">
            <v>722</v>
          </cell>
          <cell r="B381" t="str">
            <v>ИМНС по Чаусскому району</v>
          </cell>
        </row>
        <row r="382">
          <cell r="A382">
            <v>723</v>
          </cell>
          <cell r="B382" t="str">
            <v>ИМНС по Чериковскому району</v>
          </cell>
        </row>
        <row r="383">
          <cell r="A383">
            <v>724</v>
          </cell>
          <cell r="B383" t="str">
            <v>ИМНС по Шкловскому району</v>
          </cell>
        </row>
        <row r="384">
          <cell r="A384">
            <v>741</v>
          </cell>
          <cell r="B384" t="str">
            <v>ИМНС по г.Бобруйску</v>
          </cell>
        </row>
        <row r="385">
          <cell r="A385">
            <v>751</v>
          </cell>
          <cell r="B385" t="str">
            <v>ИМНС по Горецкому району</v>
          </cell>
        </row>
        <row r="386">
          <cell r="A386">
            <v>761</v>
          </cell>
          <cell r="B386" t="str">
            <v>ИМНС по Кричевскому району</v>
          </cell>
        </row>
        <row r="387">
          <cell r="A387">
            <v>772</v>
          </cell>
          <cell r="B387" t="str">
            <v>ИМНС по Ленинскому району г.Могилева N 1</v>
          </cell>
        </row>
        <row r="388">
          <cell r="A388">
            <v>773</v>
          </cell>
          <cell r="B388" t="str">
            <v>ИМНС по Октябрьскому району г.Могилева</v>
          </cell>
        </row>
        <row r="389">
          <cell r="A389">
            <v>774</v>
          </cell>
          <cell r="B389" t="str">
            <v>ИМНС по Ленинскому району г.Могилева N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Заявка_ЮЛ"/>
      <sheetName val="Согласие НБ МВД директор"/>
      <sheetName val="Список док. поруч-залогодат"/>
      <sheetName val="Анкета поруч-залог ФЛ"/>
      <sheetName val="Анкета поруч-залог ЮЛ"/>
      <sheetName val="Анкета поруч-залог ИП"/>
      <sheetName val="Лист2"/>
      <sheetName val="Список док-тов для залога"/>
      <sheetName val="залоговая опись авто"/>
      <sheetName val="акт оценки авто"/>
      <sheetName val="Согласие НБ и МВД ЮЛ"/>
      <sheetName val="Согласие НБ и МВД ФЛ"/>
      <sheetName val="Вопрос. для пров. индент. ЮЛ"/>
      <sheetName val="Письмо о зем. участке"/>
      <sheetName val="Анкета"/>
    </sheetNames>
    <sheetDataSet>
      <sheetData sheetId="0"/>
      <sheetData sheetId="1">
        <row r="102">
          <cell r="F102" t="str">
            <v>Офис</v>
          </cell>
        </row>
        <row r="111">
          <cell r="F111">
            <v>0</v>
          </cell>
        </row>
      </sheetData>
      <sheetData sheetId="2"/>
      <sheetData sheetId="3"/>
      <sheetData sheetId="4"/>
      <sheetData sheetId="5"/>
      <sheetData sheetId="6"/>
      <sheetData sheetId="7">
        <row r="59">
          <cell r="A59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 написания"/>
      <sheetName val="Баланс"/>
      <sheetName val="ОПУ"/>
      <sheetName val="Связанные"/>
      <sheetName val="залог"/>
      <sheetName val="справочное заключение"/>
      <sheetName val="График платежей"/>
      <sheetName val="Комментарии"/>
      <sheetName val="официальное заключение "/>
      <sheetName val="Cash Flow"/>
      <sheetName val="План проекта"/>
      <sheetName val="Техн. лист"/>
      <sheetName val="Заявка_ЮЛ"/>
    </sheetNames>
    <sheetDataSet>
      <sheetData sheetId="0"/>
      <sheetData sheetId="1"/>
      <sheetData sheetId="2"/>
      <sheetData sheetId="3"/>
      <sheetData sheetId="4" refreshError="1">
        <row r="61">
          <cell r="A61" t="str">
            <v>A</v>
          </cell>
        </row>
        <row r="62">
          <cell r="A62" t="str">
            <v>C</v>
          </cell>
        </row>
        <row r="63">
          <cell r="A63" t="str">
            <v>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документов_схема"/>
      <sheetName val="Пакет док-тов ЮЛ"/>
      <sheetName val="Пакет док-тов ИП"/>
      <sheetName val="Док-ты по залогу"/>
      <sheetName val="Док-та по залогодателю"/>
      <sheetName val="Заявка"/>
      <sheetName val="приложение к заявке (БР)"/>
      <sheetName val="Лист2"/>
      <sheetName val="проект решения КК"/>
      <sheetName val="заключение"/>
      <sheetName val="Приложение 3.2 "/>
      <sheetName val="Согласие НБ и МВД ЮЛ"/>
      <sheetName val="Согласие НБ МВД директор"/>
      <sheetName val="Анкета поручителя"/>
      <sheetName val="Согласие НБ и МВД ФЛ"/>
      <sheetName val="Анкета поруч-залог ЮЛ"/>
      <sheetName val="залоговая опись авто"/>
      <sheetName val="залоговая опись недвиж"/>
      <sheetName val="акт оценки авто"/>
      <sheetName val="с копейками"/>
      <sheetName val="без копеек"/>
      <sheetName val="ДП овер+вкл"/>
      <sheetName val="обороты счета в бел"/>
      <sheetName val="обороты счета в долл"/>
      <sheetName val="обороты счета в евро"/>
      <sheetName val="обороты счета в росс"/>
      <sheetName val="закл о мониторинге"/>
      <sheetName val="зал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документов_схема"/>
      <sheetName val="Приложение 1 - Пакет док-тов ЮЛ"/>
      <sheetName val="Приложение 2 - Пакет док-тов ИП"/>
      <sheetName val="Приложение 3.2 "/>
      <sheetName val="Приложение 5 - заключение"/>
      <sheetName val="Заявка"/>
      <sheetName val="Док-ты по залогу"/>
      <sheetName val="Док-та по залогодателю"/>
      <sheetName val="Лист2"/>
      <sheetName val="Согласие НБ и МВД ЮЛ"/>
      <sheetName val="Согласие НБ МВД директор"/>
      <sheetName val="Анкета поручителя"/>
      <sheetName val="Согласие НБ и МВД ФЛ"/>
      <sheetName val="Анкета поруч-залог ЮЛ"/>
      <sheetName val="залоговая опись авто"/>
      <sheetName val="залоговая опись недвиж"/>
      <sheetName val="акт оценки авто"/>
      <sheetName val="с копейками"/>
      <sheetName val="без копеек"/>
      <sheetName val="ДП овер+вкл"/>
      <sheetName val="обороты счета в бел"/>
      <sheetName val="обороты счета в долл"/>
      <sheetName val="обороты счета в евро"/>
      <sheetName val="обороты счета в росс"/>
      <sheetName val="закл о мониторинге"/>
      <sheetName val="заключ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9">
          <cell r="A59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8" Type="http://schemas.openxmlformats.org/officeDocument/2006/relationships/ctrlProp" Target="../ctrlProps/ctrlProp4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26" Type="http://schemas.openxmlformats.org/officeDocument/2006/relationships/ctrlProp" Target="../ctrlProps/ctrlProp92.xml"/><Relationship Id="rId39" Type="http://schemas.openxmlformats.org/officeDocument/2006/relationships/ctrlProp" Target="../ctrlProps/ctrlProp105.xml"/><Relationship Id="rId21" Type="http://schemas.openxmlformats.org/officeDocument/2006/relationships/ctrlProp" Target="../ctrlProps/ctrlProp87.xml"/><Relationship Id="rId34" Type="http://schemas.openxmlformats.org/officeDocument/2006/relationships/ctrlProp" Target="../ctrlProps/ctrlProp100.xml"/><Relationship Id="rId42" Type="http://schemas.openxmlformats.org/officeDocument/2006/relationships/ctrlProp" Target="../ctrlProps/ctrlProp108.xml"/><Relationship Id="rId47" Type="http://schemas.openxmlformats.org/officeDocument/2006/relationships/ctrlProp" Target="../ctrlProps/ctrlProp113.xml"/><Relationship Id="rId50" Type="http://schemas.openxmlformats.org/officeDocument/2006/relationships/ctrlProp" Target="../ctrlProps/ctrlProp116.xml"/><Relationship Id="rId55" Type="http://schemas.openxmlformats.org/officeDocument/2006/relationships/ctrlProp" Target="../ctrlProps/ctrlProp121.xml"/><Relationship Id="rId63" Type="http://schemas.openxmlformats.org/officeDocument/2006/relationships/ctrlProp" Target="../ctrlProps/ctrlProp129.xml"/><Relationship Id="rId7" Type="http://schemas.openxmlformats.org/officeDocument/2006/relationships/ctrlProp" Target="../ctrlProps/ctrlProp7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2.xml"/><Relationship Id="rId29" Type="http://schemas.openxmlformats.org/officeDocument/2006/relationships/ctrlProp" Target="../ctrlProps/ctrlProp95.xml"/><Relationship Id="rId11" Type="http://schemas.openxmlformats.org/officeDocument/2006/relationships/ctrlProp" Target="../ctrlProps/ctrlProp77.xml"/><Relationship Id="rId24" Type="http://schemas.openxmlformats.org/officeDocument/2006/relationships/ctrlProp" Target="../ctrlProps/ctrlProp90.xml"/><Relationship Id="rId32" Type="http://schemas.openxmlformats.org/officeDocument/2006/relationships/ctrlProp" Target="../ctrlProps/ctrlProp98.xml"/><Relationship Id="rId37" Type="http://schemas.openxmlformats.org/officeDocument/2006/relationships/ctrlProp" Target="../ctrlProps/ctrlProp103.xml"/><Relationship Id="rId40" Type="http://schemas.openxmlformats.org/officeDocument/2006/relationships/ctrlProp" Target="../ctrlProps/ctrlProp106.xml"/><Relationship Id="rId45" Type="http://schemas.openxmlformats.org/officeDocument/2006/relationships/ctrlProp" Target="../ctrlProps/ctrlProp111.xml"/><Relationship Id="rId53" Type="http://schemas.openxmlformats.org/officeDocument/2006/relationships/ctrlProp" Target="../ctrlProps/ctrlProp119.xml"/><Relationship Id="rId58" Type="http://schemas.openxmlformats.org/officeDocument/2006/relationships/ctrlProp" Target="../ctrlProps/ctrlProp124.xml"/><Relationship Id="rId5" Type="http://schemas.openxmlformats.org/officeDocument/2006/relationships/ctrlProp" Target="../ctrlProps/ctrlProp71.xml"/><Relationship Id="rId61" Type="http://schemas.openxmlformats.org/officeDocument/2006/relationships/ctrlProp" Target="../ctrlProps/ctrlProp127.xml"/><Relationship Id="rId19" Type="http://schemas.openxmlformats.org/officeDocument/2006/relationships/ctrlProp" Target="../ctrlProps/ctrlProp85.xml"/><Relationship Id="rId14" Type="http://schemas.openxmlformats.org/officeDocument/2006/relationships/ctrlProp" Target="../ctrlProps/ctrlProp80.xml"/><Relationship Id="rId22" Type="http://schemas.openxmlformats.org/officeDocument/2006/relationships/ctrlProp" Target="../ctrlProps/ctrlProp88.xml"/><Relationship Id="rId27" Type="http://schemas.openxmlformats.org/officeDocument/2006/relationships/ctrlProp" Target="../ctrlProps/ctrlProp93.xml"/><Relationship Id="rId30" Type="http://schemas.openxmlformats.org/officeDocument/2006/relationships/ctrlProp" Target="../ctrlProps/ctrlProp96.xml"/><Relationship Id="rId35" Type="http://schemas.openxmlformats.org/officeDocument/2006/relationships/ctrlProp" Target="../ctrlProps/ctrlProp101.xml"/><Relationship Id="rId43" Type="http://schemas.openxmlformats.org/officeDocument/2006/relationships/ctrlProp" Target="../ctrlProps/ctrlProp109.xml"/><Relationship Id="rId48" Type="http://schemas.openxmlformats.org/officeDocument/2006/relationships/ctrlProp" Target="../ctrlProps/ctrlProp114.xml"/><Relationship Id="rId56" Type="http://schemas.openxmlformats.org/officeDocument/2006/relationships/ctrlProp" Target="../ctrlProps/ctrlProp122.xml"/><Relationship Id="rId8" Type="http://schemas.openxmlformats.org/officeDocument/2006/relationships/ctrlProp" Target="../ctrlProps/ctrlProp74.xml"/><Relationship Id="rId51" Type="http://schemas.openxmlformats.org/officeDocument/2006/relationships/ctrlProp" Target="../ctrlProps/ctrlProp11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5" Type="http://schemas.openxmlformats.org/officeDocument/2006/relationships/ctrlProp" Target="../ctrlProps/ctrlProp91.xml"/><Relationship Id="rId33" Type="http://schemas.openxmlformats.org/officeDocument/2006/relationships/ctrlProp" Target="../ctrlProps/ctrlProp99.xml"/><Relationship Id="rId38" Type="http://schemas.openxmlformats.org/officeDocument/2006/relationships/ctrlProp" Target="../ctrlProps/ctrlProp104.xml"/><Relationship Id="rId46" Type="http://schemas.openxmlformats.org/officeDocument/2006/relationships/ctrlProp" Target="../ctrlProps/ctrlProp112.xml"/><Relationship Id="rId59" Type="http://schemas.openxmlformats.org/officeDocument/2006/relationships/ctrlProp" Target="../ctrlProps/ctrlProp125.xml"/><Relationship Id="rId20" Type="http://schemas.openxmlformats.org/officeDocument/2006/relationships/ctrlProp" Target="../ctrlProps/ctrlProp86.xml"/><Relationship Id="rId41" Type="http://schemas.openxmlformats.org/officeDocument/2006/relationships/ctrlProp" Target="../ctrlProps/ctrlProp107.xml"/><Relationship Id="rId54" Type="http://schemas.openxmlformats.org/officeDocument/2006/relationships/ctrlProp" Target="../ctrlProps/ctrlProp120.xml"/><Relationship Id="rId62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2.xml"/><Relationship Id="rId15" Type="http://schemas.openxmlformats.org/officeDocument/2006/relationships/ctrlProp" Target="../ctrlProps/ctrlProp81.xml"/><Relationship Id="rId23" Type="http://schemas.openxmlformats.org/officeDocument/2006/relationships/ctrlProp" Target="../ctrlProps/ctrlProp89.xml"/><Relationship Id="rId28" Type="http://schemas.openxmlformats.org/officeDocument/2006/relationships/ctrlProp" Target="../ctrlProps/ctrlProp94.xml"/><Relationship Id="rId36" Type="http://schemas.openxmlformats.org/officeDocument/2006/relationships/ctrlProp" Target="../ctrlProps/ctrlProp102.xml"/><Relationship Id="rId49" Type="http://schemas.openxmlformats.org/officeDocument/2006/relationships/ctrlProp" Target="../ctrlProps/ctrlProp115.xml"/><Relationship Id="rId57" Type="http://schemas.openxmlformats.org/officeDocument/2006/relationships/ctrlProp" Target="../ctrlProps/ctrlProp123.xml"/><Relationship Id="rId10" Type="http://schemas.openxmlformats.org/officeDocument/2006/relationships/ctrlProp" Target="../ctrlProps/ctrlProp76.xml"/><Relationship Id="rId31" Type="http://schemas.openxmlformats.org/officeDocument/2006/relationships/ctrlProp" Target="../ctrlProps/ctrlProp97.xml"/><Relationship Id="rId44" Type="http://schemas.openxmlformats.org/officeDocument/2006/relationships/ctrlProp" Target="../ctrlProps/ctrlProp110.xml"/><Relationship Id="rId52" Type="http://schemas.openxmlformats.org/officeDocument/2006/relationships/ctrlProp" Target="../ctrlProps/ctrlProp118.xml"/><Relationship Id="rId60" Type="http://schemas.openxmlformats.org/officeDocument/2006/relationships/ctrlProp" Target="../ctrlProps/ctrlProp126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42" Type="http://schemas.openxmlformats.org/officeDocument/2006/relationships/ctrlProp" Target="../ctrlProps/ctrlProp168.xml"/><Relationship Id="rId47" Type="http://schemas.openxmlformats.org/officeDocument/2006/relationships/ctrlProp" Target="../ctrlProps/ctrlProp173.xml"/><Relationship Id="rId50" Type="http://schemas.openxmlformats.org/officeDocument/2006/relationships/ctrlProp" Target="../ctrlProps/ctrlProp176.xml"/><Relationship Id="rId55" Type="http://schemas.openxmlformats.org/officeDocument/2006/relationships/ctrlProp" Target="../ctrlProps/ctrlProp181.xml"/><Relationship Id="rId7" Type="http://schemas.openxmlformats.org/officeDocument/2006/relationships/ctrlProp" Target="../ctrlProps/ctrlProp1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42.xml"/><Relationship Id="rId29" Type="http://schemas.openxmlformats.org/officeDocument/2006/relationships/ctrlProp" Target="../ctrlProps/ctrlProp155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40" Type="http://schemas.openxmlformats.org/officeDocument/2006/relationships/ctrlProp" Target="../ctrlProps/ctrlProp166.xml"/><Relationship Id="rId45" Type="http://schemas.openxmlformats.org/officeDocument/2006/relationships/ctrlProp" Target="../ctrlProps/ctrlProp171.xml"/><Relationship Id="rId53" Type="http://schemas.openxmlformats.org/officeDocument/2006/relationships/ctrlProp" Target="../ctrlProps/ctrlProp179.xml"/><Relationship Id="rId58" Type="http://schemas.openxmlformats.org/officeDocument/2006/relationships/ctrlProp" Target="../ctrlProps/ctrlProp184.xml"/><Relationship Id="rId5" Type="http://schemas.openxmlformats.org/officeDocument/2006/relationships/ctrlProp" Target="../ctrlProps/ctrlProp131.xml"/><Relationship Id="rId19" Type="http://schemas.openxmlformats.org/officeDocument/2006/relationships/ctrlProp" Target="../ctrlProps/ctrlProp145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43" Type="http://schemas.openxmlformats.org/officeDocument/2006/relationships/ctrlProp" Target="../ctrlProps/ctrlProp169.xml"/><Relationship Id="rId48" Type="http://schemas.openxmlformats.org/officeDocument/2006/relationships/ctrlProp" Target="../ctrlProps/ctrlProp174.xml"/><Relationship Id="rId56" Type="http://schemas.openxmlformats.org/officeDocument/2006/relationships/ctrlProp" Target="../ctrlProps/ctrlProp182.xml"/><Relationship Id="rId8" Type="http://schemas.openxmlformats.org/officeDocument/2006/relationships/ctrlProp" Target="../ctrlProps/ctrlProp134.xml"/><Relationship Id="rId51" Type="http://schemas.openxmlformats.org/officeDocument/2006/relationships/ctrlProp" Target="../ctrlProps/ctrlProp1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46" Type="http://schemas.openxmlformats.org/officeDocument/2006/relationships/ctrlProp" Target="../ctrlProps/ctrlProp172.xml"/><Relationship Id="rId20" Type="http://schemas.openxmlformats.org/officeDocument/2006/relationships/ctrlProp" Target="../ctrlProps/ctrlProp146.xml"/><Relationship Id="rId41" Type="http://schemas.openxmlformats.org/officeDocument/2006/relationships/ctrlProp" Target="../ctrlProps/ctrlProp167.xml"/><Relationship Id="rId54" Type="http://schemas.openxmlformats.org/officeDocument/2006/relationships/ctrlProp" Target="../ctrlProps/ctrlProp18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2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49" Type="http://schemas.openxmlformats.org/officeDocument/2006/relationships/ctrlProp" Target="../ctrlProps/ctrlProp175.xml"/><Relationship Id="rId57" Type="http://schemas.openxmlformats.org/officeDocument/2006/relationships/ctrlProp" Target="../ctrlProps/ctrlProp183.xml"/><Relationship Id="rId10" Type="http://schemas.openxmlformats.org/officeDocument/2006/relationships/ctrlProp" Target="../ctrlProps/ctrlProp136.xml"/><Relationship Id="rId31" Type="http://schemas.openxmlformats.org/officeDocument/2006/relationships/ctrlProp" Target="../ctrlProps/ctrlProp157.xml"/><Relationship Id="rId44" Type="http://schemas.openxmlformats.org/officeDocument/2006/relationships/ctrlProp" Target="../ctrlProps/ctrlProp170.xml"/><Relationship Id="rId52" Type="http://schemas.openxmlformats.org/officeDocument/2006/relationships/ctrlProp" Target="../ctrlProps/ctrlProp17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8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87.xml"/><Relationship Id="rId12" Type="http://schemas.openxmlformats.org/officeDocument/2006/relationships/ctrlProp" Target="../ctrlProps/ctrlProp19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6.xml"/><Relationship Id="rId11" Type="http://schemas.openxmlformats.org/officeDocument/2006/relationships/ctrlProp" Target="../ctrlProps/ctrlProp191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8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95.xml"/><Relationship Id="rId5" Type="http://schemas.openxmlformats.org/officeDocument/2006/relationships/ctrlProp" Target="../ctrlProps/ctrlProp194.xml"/><Relationship Id="rId4" Type="http://schemas.openxmlformats.org/officeDocument/2006/relationships/ctrlProp" Target="../ctrlProps/ctrlProp19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98.xml"/><Relationship Id="rId5" Type="http://schemas.openxmlformats.org/officeDocument/2006/relationships/ctrlProp" Target="../ctrlProps/ctrlProp197.xml"/><Relationship Id="rId4" Type="http://schemas.openxmlformats.org/officeDocument/2006/relationships/ctrlProp" Target="../ctrlProps/ctrlProp19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.xml"/><Relationship Id="rId13" Type="http://schemas.openxmlformats.org/officeDocument/2006/relationships/ctrlProp" Target="../ctrlProps/ctrlProp208.xml"/><Relationship Id="rId18" Type="http://schemas.openxmlformats.org/officeDocument/2006/relationships/ctrlProp" Target="../ctrlProps/ctrlProp21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16.xml"/><Relationship Id="rId7" Type="http://schemas.openxmlformats.org/officeDocument/2006/relationships/ctrlProp" Target="../ctrlProps/ctrlProp202.xml"/><Relationship Id="rId12" Type="http://schemas.openxmlformats.org/officeDocument/2006/relationships/ctrlProp" Target="../ctrlProps/ctrlProp207.xml"/><Relationship Id="rId17" Type="http://schemas.openxmlformats.org/officeDocument/2006/relationships/ctrlProp" Target="../ctrlProps/ctrlProp21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11.xml"/><Relationship Id="rId20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01.xml"/><Relationship Id="rId11" Type="http://schemas.openxmlformats.org/officeDocument/2006/relationships/ctrlProp" Target="../ctrlProps/ctrlProp206.xml"/><Relationship Id="rId5" Type="http://schemas.openxmlformats.org/officeDocument/2006/relationships/ctrlProp" Target="../ctrlProps/ctrlProp200.xml"/><Relationship Id="rId15" Type="http://schemas.openxmlformats.org/officeDocument/2006/relationships/ctrlProp" Target="../ctrlProps/ctrlProp210.xml"/><Relationship Id="rId23" Type="http://schemas.openxmlformats.org/officeDocument/2006/relationships/ctrlProp" Target="../ctrlProps/ctrlProp218.xml"/><Relationship Id="rId10" Type="http://schemas.openxmlformats.org/officeDocument/2006/relationships/ctrlProp" Target="../ctrlProps/ctrlProp205.xml"/><Relationship Id="rId19" Type="http://schemas.openxmlformats.org/officeDocument/2006/relationships/ctrlProp" Target="../ctrlProps/ctrlProp214.xml"/><Relationship Id="rId4" Type="http://schemas.openxmlformats.org/officeDocument/2006/relationships/ctrlProp" Target="../ctrlProps/ctrlProp199.xml"/><Relationship Id="rId9" Type="http://schemas.openxmlformats.org/officeDocument/2006/relationships/ctrlProp" Target="../ctrlProps/ctrlProp204.xml"/><Relationship Id="rId14" Type="http://schemas.openxmlformats.org/officeDocument/2006/relationships/ctrlProp" Target="../ctrlProps/ctrlProp209.xml"/><Relationship Id="rId22" Type="http://schemas.openxmlformats.org/officeDocument/2006/relationships/ctrlProp" Target="../ctrlProps/ctrlProp2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AI332"/>
  <sheetViews>
    <sheetView topLeftCell="N16" zoomScale="85" zoomScaleNormal="85" workbookViewId="0">
      <selection activeCell="Y36" sqref="Y36"/>
    </sheetView>
  </sheetViews>
  <sheetFormatPr defaultRowHeight="15"/>
  <cols>
    <col min="1" max="1" width="16.5703125" customWidth="1"/>
    <col min="19" max="19" width="78.7109375" customWidth="1"/>
    <col min="26" max="26" width="11.85546875" customWidth="1"/>
  </cols>
  <sheetData>
    <row r="1" spans="1:27" ht="21">
      <c r="A1" s="132"/>
      <c r="L1" s="132"/>
      <c r="Z1" s="405" t="s">
        <v>114</v>
      </c>
      <c r="AA1" s="406">
        <f>SUBTOTAL(9,G2:G100000)</f>
        <v>0</v>
      </c>
    </row>
    <row r="2" spans="1:27">
      <c r="A2" s="132"/>
      <c r="L2" s="132"/>
    </row>
    <row r="3" spans="1:27">
      <c r="A3" s="132"/>
      <c r="L3" s="132"/>
    </row>
    <row r="4" spans="1:27">
      <c r="A4" s="132"/>
      <c r="L4" s="132"/>
    </row>
    <row r="5" spans="1:27">
      <c r="A5" s="132"/>
      <c r="L5" s="132"/>
    </row>
    <row r="6" spans="1:27" ht="19.5" customHeight="1">
      <c r="A6" s="132"/>
      <c r="L6" s="132"/>
      <c r="Y6" s="469" t="s">
        <v>447</v>
      </c>
      <c r="Z6" s="470"/>
      <c r="AA6" s="471"/>
    </row>
    <row r="7" spans="1:27">
      <c r="A7" s="132"/>
      <c r="L7" s="132"/>
      <c r="Y7" s="472"/>
      <c r="Z7" s="473"/>
      <c r="AA7" s="474"/>
    </row>
    <row r="8" spans="1:27">
      <c r="A8" s="132"/>
      <c r="L8" s="132"/>
      <c r="Y8" s="472"/>
      <c r="Z8" s="473"/>
      <c r="AA8" s="474"/>
    </row>
    <row r="9" spans="1:27">
      <c r="A9" s="132"/>
      <c r="L9" s="132"/>
      <c r="Y9" s="472"/>
      <c r="Z9" s="473"/>
      <c r="AA9" s="474"/>
    </row>
    <row r="10" spans="1:27">
      <c r="A10" s="132"/>
      <c r="L10" s="132"/>
      <c r="Y10" s="472"/>
      <c r="Z10" s="473"/>
      <c r="AA10" s="474"/>
    </row>
    <row r="11" spans="1:27">
      <c r="A11" s="132"/>
      <c r="L11" s="132"/>
      <c r="Y11" s="472"/>
      <c r="Z11" s="473"/>
      <c r="AA11" s="474"/>
    </row>
    <row r="12" spans="1:27">
      <c r="A12" s="132"/>
      <c r="L12" s="132"/>
      <c r="Y12" s="472"/>
      <c r="Z12" s="473"/>
      <c r="AA12" s="474"/>
    </row>
    <row r="13" spans="1:27">
      <c r="A13" s="132"/>
      <c r="L13" s="132"/>
      <c r="Y13" s="472"/>
      <c r="Z13" s="473"/>
      <c r="AA13" s="474"/>
    </row>
    <row r="14" spans="1:27">
      <c r="A14" s="132"/>
      <c r="L14" s="132"/>
      <c r="Y14" s="472"/>
      <c r="Z14" s="473"/>
      <c r="AA14" s="474"/>
    </row>
    <row r="15" spans="1:27">
      <c r="A15" s="132"/>
      <c r="L15" s="132"/>
      <c r="Y15" s="475"/>
      <c r="Z15" s="476"/>
      <c r="AA15" s="477"/>
    </row>
    <row r="16" spans="1:27" ht="15" customHeight="1">
      <c r="A16" s="132"/>
      <c r="L16" s="132"/>
      <c r="X16" s="134"/>
      <c r="Y16" s="478"/>
      <c r="Z16" s="479"/>
      <c r="AA16" s="480"/>
    </row>
    <row r="17" spans="1:35">
      <c r="A17" s="132"/>
      <c r="L17" s="132"/>
      <c r="X17" s="135"/>
      <c r="Y17" s="469"/>
      <c r="Z17" s="470"/>
      <c r="AA17" s="471"/>
    </row>
    <row r="18" spans="1:35">
      <c r="A18" s="132"/>
      <c r="L18" s="132"/>
      <c r="X18" s="135"/>
      <c r="Y18" s="472"/>
      <c r="Z18" s="473"/>
      <c r="AA18" s="474"/>
    </row>
    <row r="19" spans="1:35">
      <c r="A19" s="132"/>
      <c r="L19" s="132"/>
      <c r="X19" s="135"/>
      <c r="Y19" s="472"/>
      <c r="Z19" s="473"/>
      <c r="AA19" s="474"/>
    </row>
    <row r="20" spans="1:35">
      <c r="A20" s="132"/>
      <c r="L20" s="132"/>
      <c r="X20" s="135"/>
      <c r="Y20" s="472"/>
      <c r="Z20" s="473"/>
      <c r="AA20" s="474"/>
    </row>
    <row r="21" spans="1:35">
      <c r="A21" s="132"/>
      <c r="L21" s="132"/>
      <c r="X21" s="135"/>
      <c r="Y21" s="472"/>
      <c r="Z21" s="473"/>
      <c r="AA21" s="474"/>
    </row>
    <row r="22" spans="1:35">
      <c r="A22" s="132"/>
      <c r="L22" s="132"/>
      <c r="X22" s="135"/>
      <c r="Y22" s="472"/>
      <c r="Z22" s="473"/>
      <c r="AA22" s="474"/>
    </row>
    <row r="23" spans="1:35">
      <c r="A23" s="132"/>
      <c r="L23" s="132"/>
      <c r="X23" s="134"/>
      <c r="Y23" s="472"/>
      <c r="Z23" s="473"/>
      <c r="AA23" s="474"/>
    </row>
    <row r="24" spans="1:35">
      <c r="A24" s="132"/>
      <c r="L24" s="132"/>
      <c r="Y24" s="472"/>
      <c r="Z24" s="473"/>
      <c r="AA24" s="474"/>
    </row>
    <row r="25" spans="1:35">
      <c r="A25" s="132"/>
      <c r="L25" s="132"/>
      <c r="Y25" s="472"/>
      <c r="Z25" s="473"/>
      <c r="AA25" s="474"/>
    </row>
    <row r="26" spans="1:35">
      <c r="A26" s="132"/>
      <c r="L26" s="132"/>
      <c r="Y26" s="475"/>
      <c r="Z26" s="476"/>
      <c r="AA26" s="477"/>
    </row>
    <row r="27" spans="1:35">
      <c r="A27" s="132"/>
      <c r="L27" s="132"/>
    </row>
    <row r="28" spans="1:35">
      <c r="A28" s="132"/>
      <c r="L28" s="132"/>
      <c r="Y28" s="412" t="s">
        <v>452</v>
      </c>
      <c r="Z28" s="411"/>
      <c r="AA28" s="411"/>
    </row>
    <row r="29" spans="1:35">
      <c r="A29" s="132"/>
      <c r="L29" s="132"/>
    </row>
    <row r="30" spans="1:35">
      <c r="A30" s="132"/>
      <c r="L30" s="132"/>
      <c r="Y30" s="417" t="s">
        <v>454</v>
      </c>
    </row>
    <row r="31" spans="1:35" ht="64.5" customHeight="1">
      <c r="A31" s="132"/>
      <c r="L31" s="132"/>
      <c r="Y31" s="481" t="s">
        <v>456</v>
      </c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</row>
    <row r="32" spans="1:35" ht="15" customHeight="1">
      <c r="A32" s="132"/>
      <c r="L32" s="132"/>
      <c r="Y32" s="416" t="s">
        <v>453</v>
      </c>
    </row>
    <row r="33" spans="1:35" ht="15" customHeight="1">
      <c r="A33" s="132"/>
      <c r="L33" s="132"/>
    </row>
    <row r="34" spans="1:35">
      <c r="A34" s="132"/>
      <c r="L34" s="132"/>
      <c r="Y34" s="417" t="s">
        <v>455</v>
      </c>
    </row>
    <row r="35" spans="1:35" ht="48.75" customHeight="1">
      <c r="A35" s="132"/>
      <c r="L35" s="132"/>
      <c r="Y35" s="481" t="s">
        <v>457</v>
      </c>
      <c r="Z35" s="481"/>
      <c r="AA35" s="481"/>
      <c r="AB35" s="481"/>
      <c r="AC35" s="481"/>
      <c r="AD35" s="481"/>
      <c r="AE35" s="481"/>
      <c r="AF35" s="481"/>
      <c r="AG35" s="481"/>
      <c r="AH35" s="481"/>
      <c r="AI35" s="481"/>
    </row>
    <row r="36" spans="1:35">
      <c r="A36" s="132"/>
      <c r="L36" s="132"/>
      <c r="Y36" s="416" t="s">
        <v>458</v>
      </c>
    </row>
    <row r="37" spans="1:35">
      <c r="A37" s="132"/>
      <c r="L37" s="132"/>
    </row>
    <row r="38" spans="1:35">
      <c r="A38" s="132"/>
      <c r="L38" s="132"/>
    </row>
    <row r="39" spans="1:35">
      <c r="A39" s="132"/>
      <c r="L39" s="132"/>
    </row>
    <row r="40" spans="1:35">
      <c r="A40" s="132"/>
      <c r="L40" s="132"/>
    </row>
    <row r="41" spans="1:35" ht="15" customHeight="1">
      <c r="A41" s="132"/>
      <c r="L41" s="132"/>
    </row>
    <row r="42" spans="1:35">
      <c r="A42" s="132"/>
      <c r="L42" s="132"/>
    </row>
    <row r="43" spans="1:35">
      <c r="A43" s="132"/>
      <c r="L43" s="132"/>
    </row>
    <row r="44" spans="1:35">
      <c r="A44" s="132"/>
      <c r="L44" s="132"/>
    </row>
    <row r="45" spans="1:35">
      <c r="A45" s="132"/>
      <c r="L45" s="132"/>
    </row>
    <row r="46" spans="1:35">
      <c r="A46" s="132"/>
      <c r="L46" s="132"/>
    </row>
    <row r="47" spans="1:35">
      <c r="A47" s="132"/>
      <c r="L47" s="132"/>
    </row>
    <row r="48" spans="1:35" ht="15" customHeight="1">
      <c r="A48" s="132"/>
      <c r="L48" s="132"/>
    </row>
    <row r="49" spans="1:12">
      <c r="A49" s="132"/>
      <c r="L49" s="132"/>
    </row>
    <row r="50" spans="1:12" ht="15" customHeight="1">
      <c r="A50" s="132"/>
      <c r="L50" s="132"/>
    </row>
    <row r="51" spans="1:12">
      <c r="A51" s="132"/>
      <c r="L51" s="132"/>
    </row>
    <row r="52" spans="1:12">
      <c r="A52" s="132"/>
      <c r="L52" s="132"/>
    </row>
    <row r="53" spans="1:12">
      <c r="A53" s="132"/>
      <c r="L53" s="132"/>
    </row>
    <row r="54" spans="1:12">
      <c r="A54" s="132"/>
      <c r="L54" s="132"/>
    </row>
    <row r="55" spans="1:12">
      <c r="A55" s="132"/>
      <c r="L55" s="132"/>
    </row>
    <row r="56" spans="1:12">
      <c r="A56" s="132"/>
      <c r="L56" s="132"/>
    </row>
    <row r="57" spans="1:12">
      <c r="A57" s="132"/>
      <c r="L57" s="132"/>
    </row>
    <row r="58" spans="1:12">
      <c r="A58" s="132"/>
      <c r="L58" s="132"/>
    </row>
    <row r="59" spans="1:12">
      <c r="A59" s="132"/>
      <c r="L59" s="132"/>
    </row>
    <row r="60" spans="1:12">
      <c r="A60" s="132"/>
      <c r="L60" s="132"/>
    </row>
    <row r="61" spans="1:12">
      <c r="A61" s="132"/>
      <c r="L61" s="132"/>
    </row>
    <row r="62" spans="1:12">
      <c r="A62" s="132"/>
      <c r="L62" s="132"/>
    </row>
    <row r="63" spans="1:12">
      <c r="A63" s="132"/>
      <c r="L63" s="132"/>
    </row>
    <row r="64" spans="1:12">
      <c r="A64" s="132"/>
      <c r="L64" s="132"/>
    </row>
    <row r="65" spans="1:12">
      <c r="A65" s="132"/>
      <c r="L65" s="132"/>
    </row>
    <row r="66" spans="1:12">
      <c r="A66" s="132"/>
      <c r="L66" s="132"/>
    </row>
    <row r="67" spans="1:12">
      <c r="A67" s="132"/>
      <c r="L67" s="132"/>
    </row>
    <row r="68" spans="1:12">
      <c r="A68" s="132"/>
      <c r="L68" s="132"/>
    </row>
    <row r="69" spans="1:12">
      <c r="A69" s="132"/>
      <c r="L69" s="132"/>
    </row>
    <row r="70" spans="1:12">
      <c r="A70" s="132"/>
      <c r="L70" s="132"/>
    </row>
    <row r="71" spans="1:12">
      <c r="A71" s="132"/>
      <c r="L71" s="132"/>
    </row>
    <row r="72" spans="1:12">
      <c r="A72" s="132"/>
      <c r="L72" s="132"/>
    </row>
    <row r="73" spans="1:12">
      <c r="A73" s="132"/>
      <c r="L73" s="132"/>
    </row>
    <row r="74" spans="1:12">
      <c r="A74" s="132"/>
      <c r="L74" s="132"/>
    </row>
    <row r="75" spans="1:12">
      <c r="A75" s="132"/>
      <c r="L75" s="132"/>
    </row>
    <row r="76" spans="1:12">
      <c r="A76" s="132"/>
      <c r="L76" s="132"/>
    </row>
    <row r="77" spans="1:12">
      <c r="A77" s="132"/>
      <c r="L77" s="132"/>
    </row>
    <row r="78" spans="1:12">
      <c r="A78" s="132"/>
      <c r="L78" s="132"/>
    </row>
    <row r="79" spans="1:12">
      <c r="A79" s="132"/>
      <c r="L79" s="132"/>
    </row>
    <row r="80" spans="1:12">
      <c r="A80" s="132"/>
      <c r="L80" s="132"/>
    </row>
    <row r="81" spans="1:12">
      <c r="A81" s="132"/>
      <c r="L81" s="132"/>
    </row>
    <row r="82" spans="1:12">
      <c r="A82" s="132"/>
      <c r="L82" s="132"/>
    </row>
    <row r="83" spans="1:12">
      <c r="A83" s="132"/>
      <c r="L83" s="132"/>
    </row>
    <row r="84" spans="1:12">
      <c r="A84" s="132"/>
      <c r="L84" s="132"/>
    </row>
    <row r="85" spans="1:12">
      <c r="A85" s="132"/>
      <c r="L85" s="132"/>
    </row>
    <row r="86" spans="1:12">
      <c r="A86" s="132"/>
      <c r="L86" s="132"/>
    </row>
    <row r="87" spans="1:12">
      <c r="A87" s="132"/>
      <c r="L87" s="132"/>
    </row>
    <row r="88" spans="1:12">
      <c r="A88" s="132"/>
      <c r="L88" s="132"/>
    </row>
    <row r="89" spans="1:12">
      <c r="A89" s="132"/>
      <c r="L89" s="132"/>
    </row>
    <row r="90" spans="1:12">
      <c r="A90" s="132"/>
      <c r="L90" s="132"/>
    </row>
    <row r="91" spans="1:12">
      <c r="A91" s="132"/>
      <c r="L91" s="132"/>
    </row>
    <row r="92" spans="1:12">
      <c r="A92" s="132"/>
      <c r="L92" s="132"/>
    </row>
    <row r="93" spans="1:12">
      <c r="A93" s="132"/>
      <c r="L93" s="132"/>
    </row>
    <row r="94" spans="1:12">
      <c r="A94" s="132"/>
      <c r="L94" s="132"/>
    </row>
    <row r="95" spans="1:12">
      <c r="A95" s="132"/>
      <c r="L95" s="132"/>
    </row>
    <row r="96" spans="1:12">
      <c r="A96" s="132"/>
      <c r="L96" s="132"/>
    </row>
    <row r="97" spans="1:12">
      <c r="A97" s="132"/>
      <c r="L97" s="132"/>
    </row>
    <row r="98" spans="1:12">
      <c r="A98" s="132"/>
      <c r="L98" s="132"/>
    </row>
    <row r="99" spans="1:12">
      <c r="A99" s="132"/>
      <c r="L99" s="132"/>
    </row>
    <row r="100" spans="1:12">
      <c r="A100" s="132"/>
      <c r="L100" s="132"/>
    </row>
    <row r="101" spans="1:12">
      <c r="A101" s="132"/>
      <c r="L101" s="132"/>
    </row>
    <row r="102" spans="1:12">
      <c r="A102" s="132"/>
      <c r="L102" s="132"/>
    </row>
    <row r="103" spans="1:12">
      <c r="A103" s="132"/>
      <c r="L103" s="132"/>
    </row>
    <row r="104" spans="1:12">
      <c r="A104" s="132"/>
      <c r="L104" s="132"/>
    </row>
    <row r="105" spans="1:12">
      <c r="A105" s="132"/>
      <c r="L105" s="132"/>
    </row>
    <row r="106" spans="1:12">
      <c r="A106" s="132"/>
      <c r="L106" s="132"/>
    </row>
    <row r="107" spans="1:12">
      <c r="A107" s="132"/>
      <c r="L107" s="132"/>
    </row>
    <row r="108" spans="1:12">
      <c r="A108" s="132"/>
      <c r="L108" s="132"/>
    </row>
    <row r="109" spans="1:12">
      <c r="A109" s="132"/>
      <c r="L109" s="132"/>
    </row>
    <row r="110" spans="1:12">
      <c r="A110" s="132"/>
      <c r="L110" s="132"/>
    </row>
    <row r="111" spans="1:12">
      <c r="A111" s="132"/>
      <c r="L111" s="132"/>
    </row>
    <row r="112" spans="1:12">
      <c r="A112" s="132"/>
      <c r="L112" s="132"/>
    </row>
    <row r="113" spans="1:12">
      <c r="A113" s="132"/>
      <c r="L113" s="132"/>
    </row>
    <row r="114" spans="1:12">
      <c r="A114" s="132"/>
      <c r="L114" s="132"/>
    </row>
    <row r="115" spans="1:12">
      <c r="A115" s="132"/>
      <c r="L115" s="132"/>
    </row>
    <row r="116" spans="1:12">
      <c r="A116" s="132"/>
      <c r="L116" s="132"/>
    </row>
    <row r="117" spans="1:12">
      <c r="A117" s="132"/>
      <c r="L117" s="132"/>
    </row>
    <row r="118" spans="1:12">
      <c r="A118" s="132"/>
      <c r="L118" s="132"/>
    </row>
    <row r="119" spans="1:12">
      <c r="A119" s="132"/>
      <c r="L119" s="132"/>
    </row>
    <row r="120" spans="1:12">
      <c r="A120" s="132"/>
      <c r="L120" s="132"/>
    </row>
    <row r="121" spans="1:12">
      <c r="A121" s="132"/>
      <c r="L121" s="132"/>
    </row>
    <row r="122" spans="1:12">
      <c r="A122" s="132"/>
      <c r="L122" s="132"/>
    </row>
    <row r="123" spans="1:12">
      <c r="A123" s="132"/>
      <c r="L123" s="132"/>
    </row>
    <row r="124" spans="1:12">
      <c r="A124" s="132"/>
      <c r="L124" s="132"/>
    </row>
    <row r="125" spans="1:12">
      <c r="A125" s="132"/>
      <c r="L125" s="132"/>
    </row>
    <row r="126" spans="1:12">
      <c r="A126" s="132"/>
      <c r="L126" s="132"/>
    </row>
    <row r="127" spans="1:12">
      <c r="A127" s="132"/>
      <c r="L127" s="132"/>
    </row>
    <row r="128" spans="1:12">
      <c r="A128" s="132"/>
      <c r="L128" s="132"/>
    </row>
    <row r="129" spans="1:12">
      <c r="A129" s="132"/>
      <c r="L129" s="132"/>
    </row>
    <row r="130" spans="1:12">
      <c r="A130" s="132"/>
      <c r="L130" s="132"/>
    </row>
    <row r="131" spans="1:12">
      <c r="A131" s="132"/>
      <c r="L131" s="132"/>
    </row>
    <row r="132" spans="1:12">
      <c r="A132" s="132"/>
      <c r="L132" s="132"/>
    </row>
    <row r="133" spans="1:12">
      <c r="A133" s="132"/>
      <c r="L133" s="132"/>
    </row>
    <row r="134" spans="1:12">
      <c r="A134" s="132"/>
      <c r="L134" s="132"/>
    </row>
    <row r="135" spans="1:12">
      <c r="A135" s="132"/>
      <c r="L135" s="132"/>
    </row>
    <row r="136" spans="1:12">
      <c r="A136" s="132"/>
      <c r="L136" s="132"/>
    </row>
    <row r="137" spans="1:12">
      <c r="A137" s="132"/>
      <c r="L137" s="132"/>
    </row>
    <row r="138" spans="1:12">
      <c r="A138" s="132"/>
      <c r="L138" s="132"/>
    </row>
    <row r="139" spans="1:12">
      <c r="A139" s="132"/>
      <c r="L139" s="132"/>
    </row>
    <row r="140" spans="1:12">
      <c r="A140" s="132"/>
      <c r="L140" s="132"/>
    </row>
    <row r="141" spans="1:12">
      <c r="A141" s="132"/>
      <c r="L141" s="132"/>
    </row>
    <row r="142" spans="1:12">
      <c r="A142" s="132"/>
      <c r="L142" s="132"/>
    </row>
    <row r="143" spans="1:12">
      <c r="A143" s="132"/>
      <c r="L143" s="132"/>
    </row>
    <row r="144" spans="1:12">
      <c r="A144" s="132"/>
      <c r="L144" s="132"/>
    </row>
    <row r="145" spans="1:12">
      <c r="A145" s="132"/>
      <c r="L145" s="132"/>
    </row>
    <row r="146" spans="1:12">
      <c r="A146" s="132"/>
      <c r="L146" s="132"/>
    </row>
    <row r="147" spans="1:12">
      <c r="A147" s="132"/>
      <c r="L147" s="132"/>
    </row>
    <row r="148" spans="1:12">
      <c r="A148" s="132"/>
      <c r="L148" s="132"/>
    </row>
    <row r="149" spans="1:12">
      <c r="A149" s="132"/>
      <c r="L149" s="132"/>
    </row>
    <row r="150" spans="1:12">
      <c r="A150" s="132"/>
      <c r="L150" s="132"/>
    </row>
    <row r="151" spans="1:12">
      <c r="A151" s="132"/>
      <c r="L151" s="132"/>
    </row>
    <row r="152" spans="1:12">
      <c r="A152" s="132"/>
      <c r="L152" s="132"/>
    </row>
    <row r="153" spans="1:12">
      <c r="A153" s="132"/>
      <c r="L153" s="132"/>
    </row>
    <row r="154" spans="1:12">
      <c r="A154" s="132"/>
      <c r="L154" s="132"/>
    </row>
    <row r="155" spans="1:12">
      <c r="A155" s="132"/>
      <c r="L155" s="132"/>
    </row>
    <row r="156" spans="1:12">
      <c r="A156" s="132"/>
      <c r="L156" s="132"/>
    </row>
    <row r="157" spans="1:12">
      <c r="A157" s="132"/>
      <c r="L157" s="132"/>
    </row>
    <row r="158" spans="1:12">
      <c r="A158" s="132"/>
      <c r="L158" s="132"/>
    </row>
    <row r="159" spans="1:12">
      <c r="A159" s="132"/>
      <c r="L159" s="132"/>
    </row>
    <row r="160" spans="1:12">
      <c r="A160" s="132"/>
      <c r="L160" s="132"/>
    </row>
    <row r="161" spans="1:12">
      <c r="A161" s="132"/>
      <c r="L161" s="132"/>
    </row>
    <row r="162" spans="1:12">
      <c r="A162" s="132"/>
      <c r="L162" s="132"/>
    </row>
    <row r="163" spans="1:12">
      <c r="A163" s="132"/>
      <c r="L163" s="132"/>
    </row>
    <row r="164" spans="1:12">
      <c r="A164" s="132"/>
      <c r="L164" s="132"/>
    </row>
    <row r="165" spans="1:12">
      <c r="A165" s="132"/>
      <c r="L165" s="132"/>
    </row>
    <row r="166" spans="1:12">
      <c r="A166" s="132"/>
      <c r="L166" s="132"/>
    </row>
    <row r="167" spans="1:12">
      <c r="A167" s="132"/>
      <c r="L167" s="132"/>
    </row>
    <row r="168" spans="1:12">
      <c r="A168" s="132"/>
      <c r="L168" s="132"/>
    </row>
    <row r="169" spans="1:12">
      <c r="A169" s="132"/>
      <c r="L169" s="132"/>
    </row>
    <row r="170" spans="1:12">
      <c r="A170" s="132"/>
      <c r="L170" s="132"/>
    </row>
    <row r="171" spans="1:12">
      <c r="A171" s="132"/>
      <c r="L171" s="132"/>
    </row>
    <row r="172" spans="1:12">
      <c r="A172" s="132"/>
      <c r="L172" s="132"/>
    </row>
    <row r="173" spans="1:12">
      <c r="A173" s="132"/>
      <c r="L173" s="132"/>
    </row>
    <row r="174" spans="1:12">
      <c r="A174" s="132"/>
      <c r="L174" s="132"/>
    </row>
    <row r="175" spans="1:12">
      <c r="A175" s="132"/>
      <c r="L175" s="132"/>
    </row>
    <row r="176" spans="1:12">
      <c r="A176" s="132"/>
      <c r="L176" s="132"/>
    </row>
    <row r="177" spans="1:12">
      <c r="A177" s="132"/>
      <c r="L177" s="132"/>
    </row>
    <row r="178" spans="1:12">
      <c r="A178" s="132"/>
      <c r="L178" s="132"/>
    </row>
    <row r="179" spans="1:12">
      <c r="A179" s="132"/>
      <c r="L179" s="132"/>
    </row>
    <row r="180" spans="1:12">
      <c r="A180" s="132"/>
      <c r="L180" s="132"/>
    </row>
    <row r="181" spans="1:12">
      <c r="A181" s="132"/>
      <c r="L181" s="132"/>
    </row>
    <row r="182" spans="1:12">
      <c r="A182" s="132"/>
      <c r="L182" s="132"/>
    </row>
    <row r="183" spans="1:12">
      <c r="A183" s="132"/>
      <c r="L183" s="132"/>
    </row>
    <row r="184" spans="1:12">
      <c r="A184" s="132"/>
      <c r="L184" s="132"/>
    </row>
    <row r="185" spans="1:12">
      <c r="A185" s="132"/>
      <c r="L185" s="132"/>
    </row>
    <row r="186" spans="1:12">
      <c r="A186" s="132"/>
      <c r="L186" s="132"/>
    </row>
    <row r="187" spans="1:12">
      <c r="A187" s="132"/>
      <c r="L187" s="132"/>
    </row>
    <row r="188" spans="1:12">
      <c r="A188" s="132"/>
      <c r="L188" s="132"/>
    </row>
    <row r="189" spans="1:12">
      <c r="A189" s="132"/>
      <c r="L189" s="132"/>
    </row>
    <row r="190" spans="1:12">
      <c r="A190" s="132"/>
      <c r="L190" s="132"/>
    </row>
    <row r="191" spans="1:12">
      <c r="A191" s="132"/>
      <c r="L191" s="132"/>
    </row>
    <row r="192" spans="1:12">
      <c r="A192" s="132"/>
      <c r="L192" s="132"/>
    </row>
    <row r="193" spans="1:12">
      <c r="A193" s="132"/>
      <c r="L193" s="132"/>
    </row>
    <row r="194" spans="1:12">
      <c r="A194" s="132"/>
      <c r="L194" s="132"/>
    </row>
    <row r="195" spans="1:12">
      <c r="A195" s="132"/>
      <c r="L195" s="132"/>
    </row>
    <row r="196" spans="1:12">
      <c r="A196" s="132"/>
      <c r="L196" s="132"/>
    </row>
    <row r="197" spans="1:12">
      <c r="A197" s="132"/>
      <c r="L197" s="132"/>
    </row>
    <row r="198" spans="1:12">
      <c r="A198" s="132"/>
      <c r="L198" s="132"/>
    </row>
    <row r="199" spans="1:12">
      <c r="A199" s="132"/>
      <c r="L199" s="132"/>
    </row>
    <row r="200" spans="1:12">
      <c r="A200" s="132"/>
      <c r="L200" s="132"/>
    </row>
    <row r="201" spans="1:12">
      <c r="A201" s="132"/>
      <c r="L201" s="132"/>
    </row>
    <row r="202" spans="1:12">
      <c r="A202" s="132"/>
      <c r="L202" s="132"/>
    </row>
    <row r="203" spans="1:12">
      <c r="A203" s="132"/>
      <c r="L203" s="132"/>
    </row>
    <row r="204" spans="1:12">
      <c r="A204" s="132"/>
      <c r="L204" s="132"/>
    </row>
    <row r="205" spans="1:12">
      <c r="A205" s="132"/>
      <c r="L205" s="132"/>
    </row>
    <row r="206" spans="1:12">
      <c r="A206" s="132"/>
      <c r="L206" s="132"/>
    </row>
    <row r="207" spans="1:12">
      <c r="A207" s="132"/>
      <c r="L207" s="132"/>
    </row>
    <row r="208" spans="1:12">
      <c r="A208" s="132"/>
      <c r="L208" s="132"/>
    </row>
    <row r="209" spans="1:12">
      <c r="A209" s="132"/>
      <c r="L209" s="132"/>
    </row>
    <row r="210" spans="1:12">
      <c r="A210" s="132"/>
      <c r="L210" s="132"/>
    </row>
    <row r="211" spans="1:12">
      <c r="A211" s="132"/>
      <c r="L211" s="132"/>
    </row>
    <row r="212" spans="1:12">
      <c r="A212" s="132"/>
      <c r="L212" s="132"/>
    </row>
    <row r="213" spans="1:12">
      <c r="A213" s="132"/>
      <c r="L213" s="132"/>
    </row>
    <row r="214" spans="1:12">
      <c r="A214" s="132"/>
      <c r="L214" s="132"/>
    </row>
    <row r="215" spans="1:12">
      <c r="A215" s="132"/>
      <c r="L215" s="132"/>
    </row>
    <row r="216" spans="1:12">
      <c r="A216" s="132"/>
      <c r="L216" s="132"/>
    </row>
    <row r="217" spans="1:12">
      <c r="A217" s="132"/>
      <c r="L217" s="132"/>
    </row>
    <row r="218" spans="1:12">
      <c r="A218" s="132"/>
      <c r="L218" s="132"/>
    </row>
    <row r="219" spans="1:12">
      <c r="A219" s="132"/>
      <c r="L219" s="132"/>
    </row>
    <row r="220" spans="1:12">
      <c r="A220" s="132"/>
      <c r="L220" s="132"/>
    </row>
    <row r="221" spans="1:12">
      <c r="A221" s="132"/>
      <c r="L221" s="132"/>
    </row>
    <row r="222" spans="1:12">
      <c r="A222" s="132"/>
      <c r="L222" s="132"/>
    </row>
    <row r="223" spans="1:12">
      <c r="A223" s="132"/>
      <c r="L223" s="132"/>
    </row>
    <row r="224" spans="1:12">
      <c r="A224" s="132"/>
      <c r="L224" s="132"/>
    </row>
    <row r="225" spans="1:12">
      <c r="A225" s="132"/>
      <c r="L225" s="132"/>
    </row>
    <row r="226" spans="1:12">
      <c r="A226" s="132"/>
      <c r="L226" s="132"/>
    </row>
    <row r="227" spans="1:12">
      <c r="A227" s="132"/>
      <c r="L227" s="132"/>
    </row>
    <row r="228" spans="1:12">
      <c r="A228" s="132"/>
      <c r="L228" s="132"/>
    </row>
    <row r="229" spans="1:12">
      <c r="A229" s="132"/>
      <c r="L229" s="132"/>
    </row>
    <row r="230" spans="1:12">
      <c r="A230" s="132"/>
      <c r="L230" s="132"/>
    </row>
    <row r="231" spans="1:12">
      <c r="A231" s="132"/>
      <c r="L231" s="132"/>
    </row>
    <row r="232" spans="1:12">
      <c r="A232" s="132"/>
      <c r="L232" s="132"/>
    </row>
    <row r="233" spans="1:12">
      <c r="A233" s="132"/>
      <c r="L233" s="132"/>
    </row>
    <row r="234" spans="1:12">
      <c r="A234" s="132"/>
      <c r="L234" s="132"/>
    </row>
    <row r="235" spans="1:12">
      <c r="A235" s="132"/>
      <c r="L235" s="132"/>
    </row>
    <row r="236" spans="1:12">
      <c r="A236" s="132"/>
      <c r="L236" s="132"/>
    </row>
    <row r="237" spans="1:12">
      <c r="A237" s="132"/>
      <c r="L237" s="132"/>
    </row>
    <row r="238" spans="1:12">
      <c r="A238" s="132"/>
      <c r="L238" s="132"/>
    </row>
    <row r="239" spans="1:12">
      <c r="A239" s="132"/>
      <c r="L239" s="132"/>
    </row>
    <row r="240" spans="1:12">
      <c r="A240" s="132"/>
      <c r="L240" s="132"/>
    </row>
    <row r="241" spans="1:12">
      <c r="A241" s="132"/>
      <c r="L241" s="132"/>
    </row>
    <row r="242" spans="1:12">
      <c r="A242" s="132"/>
      <c r="L242" s="132"/>
    </row>
    <row r="243" spans="1:12">
      <c r="A243" s="132"/>
      <c r="L243" s="132"/>
    </row>
    <row r="244" spans="1:12">
      <c r="A244" s="132"/>
      <c r="L244" s="132"/>
    </row>
    <row r="245" spans="1:12">
      <c r="A245" s="132"/>
      <c r="L245" s="132"/>
    </row>
    <row r="246" spans="1:12">
      <c r="A246" s="132"/>
      <c r="L246" s="132"/>
    </row>
    <row r="247" spans="1:12">
      <c r="A247" s="132"/>
      <c r="L247" s="132"/>
    </row>
    <row r="248" spans="1:12">
      <c r="A248" s="132"/>
      <c r="L248" s="132"/>
    </row>
    <row r="249" spans="1:12">
      <c r="A249" s="132"/>
      <c r="L249" s="132"/>
    </row>
    <row r="250" spans="1:12">
      <c r="A250" s="132"/>
      <c r="L250" s="132"/>
    </row>
    <row r="251" spans="1:12">
      <c r="A251" s="132"/>
      <c r="L251" s="132"/>
    </row>
    <row r="252" spans="1:12">
      <c r="A252" s="132"/>
      <c r="L252" s="132"/>
    </row>
    <row r="253" spans="1:12">
      <c r="A253" s="132"/>
      <c r="L253" s="132"/>
    </row>
    <row r="254" spans="1:12">
      <c r="A254" s="132"/>
      <c r="L254" s="132"/>
    </row>
    <row r="255" spans="1:12">
      <c r="A255" s="132"/>
      <c r="L255" s="132"/>
    </row>
    <row r="256" spans="1:12">
      <c r="A256" s="132"/>
      <c r="L256" s="132"/>
    </row>
    <row r="257" spans="1:12">
      <c r="A257" s="132"/>
      <c r="L257" s="132"/>
    </row>
    <row r="258" spans="1:12">
      <c r="A258" s="132"/>
      <c r="L258" s="132"/>
    </row>
    <row r="259" spans="1:12">
      <c r="A259" s="132"/>
      <c r="L259" s="132"/>
    </row>
    <row r="260" spans="1:12">
      <c r="A260" s="132"/>
      <c r="L260" s="132"/>
    </row>
    <row r="261" spans="1:12">
      <c r="A261" s="132"/>
      <c r="L261" s="132"/>
    </row>
    <row r="262" spans="1:12">
      <c r="A262" s="132"/>
      <c r="L262" s="132"/>
    </row>
    <row r="263" spans="1:12">
      <c r="A263" s="132"/>
      <c r="L263" s="132"/>
    </row>
    <row r="264" spans="1:12">
      <c r="A264" s="132"/>
      <c r="L264" s="132"/>
    </row>
    <row r="265" spans="1:12">
      <c r="A265" s="132"/>
      <c r="L265" s="132"/>
    </row>
    <row r="266" spans="1:12">
      <c r="A266" s="132"/>
      <c r="L266" s="132"/>
    </row>
    <row r="267" spans="1:12">
      <c r="A267" s="132"/>
      <c r="L267" s="132"/>
    </row>
    <row r="268" spans="1:12">
      <c r="A268" s="132"/>
      <c r="L268" s="132"/>
    </row>
    <row r="269" spans="1:12">
      <c r="A269" s="132"/>
      <c r="L269" s="132"/>
    </row>
    <row r="270" spans="1:12">
      <c r="A270" s="132"/>
      <c r="L270" s="132"/>
    </row>
    <row r="271" spans="1:12">
      <c r="A271" s="132"/>
      <c r="L271" s="132"/>
    </row>
    <row r="272" spans="1:12">
      <c r="A272" s="132"/>
      <c r="L272" s="132"/>
    </row>
    <row r="273" spans="1:12">
      <c r="A273" s="132"/>
      <c r="L273" s="132"/>
    </row>
    <row r="274" spans="1:12">
      <c r="A274" s="132"/>
      <c r="L274" s="132"/>
    </row>
    <row r="275" spans="1:12">
      <c r="A275" s="132"/>
      <c r="L275" s="132"/>
    </row>
    <row r="276" spans="1:12">
      <c r="A276" s="132"/>
      <c r="L276" s="132"/>
    </row>
    <row r="277" spans="1:12">
      <c r="A277" s="132"/>
      <c r="L277" s="132"/>
    </row>
    <row r="278" spans="1:12">
      <c r="A278" s="132"/>
      <c r="L278" s="132"/>
    </row>
    <row r="279" spans="1:12">
      <c r="A279" s="132"/>
      <c r="L279" s="132"/>
    </row>
    <row r="280" spans="1:12">
      <c r="A280" s="132"/>
      <c r="L280" s="132"/>
    </row>
    <row r="281" spans="1:12">
      <c r="A281" s="132"/>
      <c r="L281" s="132"/>
    </row>
    <row r="282" spans="1:12">
      <c r="A282" s="132"/>
      <c r="L282" s="132"/>
    </row>
    <row r="283" spans="1:12">
      <c r="A283" s="132"/>
      <c r="L283" s="132"/>
    </row>
    <row r="284" spans="1:12">
      <c r="A284" s="132"/>
      <c r="L284" s="132"/>
    </row>
    <row r="285" spans="1:12">
      <c r="A285" s="132"/>
      <c r="L285" s="132"/>
    </row>
    <row r="286" spans="1:12">
      <c r="A286" s="132"/>
      <c r="L286" s="132"/>
    </row>
    <row r="287" spans="1:12">
      <c r="A287" s="132"/>
      <c r="L287" s="132"/>
    </row>
    <row r="288" spans="1:12">
      <c r="A288" s="132"/>
      <c r="L288" s="132"/>
    </row>
    <row r="289" spans="1:12">
      <c r="A289" s="132"/>
      <c r="L289" s="132"/>
    </row>
    <row r="290" spans="1:12">
      <c r="A290" s="132"/>
      <c r="L290" s="132"/>
    </row>
    <row r="291" spans="1:12">
      <c r="A291" s="132"/>
      <c r="L291" s="132"/>
    </row>
    <row r="292" spans="1:12">
      <c r="A292" s="132"/>
      <c r="L292" s="132"/>
    </row>
    <row r="293" spans="1:12">
      <c r="A293" s="132"/>
      <c r="L293" s="132"/>
    </row>
    <row r="294" spans="1:12">
      <c r="A294" s="132"/>
      <c r="L294" s="132"/>
    </row>
    <row r="295" spans="1:12">
      <c r="A295" s="132"/>
      <c r="L295" s="132"/>
    </row>
    <row r="296" spans="1:12">
      <c r="A296" s="132"/>
      <c r="L296" s="132"/>
    </row>
    <row r="297" spans="1:12">
      <c r="A297" s="132"/>
      <c r="L297" s="132"/>
    </row>
    <row r="298" spans="1:12">
      <c r="A298" s="132"/>
      <c r="L298" s="132"/>
    </row>
    <row r="299" spans="1:12">
      <c r="A299" s="132"/>
      <c r="L299" s="132"/>
    </row>
    <row r="300" spans="1:12">
      <c r="A300" s="132"/>
      <c r="L300" s="132"/>
    </row>
    <row r="301" spans="1:12">
      <c r="A301" s="132"/>
      <c r="L301" s="132"/>
    </row>
    <row r="302" spans="1:12">
      <c r="A302" s="132"/>
      <c r="L302" s="132"/>
    </row>
    <row r="303" spans="1:12">
      <c r="A303" s="132"/>
      <c r="L303" s="132"/>
    </row>
    <row r="304" spans="1:12">
      <c r="A304" s="132"/>
      <c r="L304" s="132"/>
    </row>
    <row r="305" spans="1:12">
      <c r="A305" s="132"/>
      <c r="L305" s="132"/>
    </row>
    <row r="306" spans="1:12">
      <c r="A306" s="132"/>
      <c r="L306" s="132"/>
    </row>
    <row r="307" spans="1:12">
      <c r="A307" s="132"/>
      <c r="L307" s="132"/>
    </row>
    <row r="308" spans="1:12">
      <c r="A308" s="132"/>
      <c r="L308" s="132"/>
    </row>
    <row r="309" spans="1:12">
      <c r="A309" s="132"/>
      <c r="L309" s="132"/>
    </row>
    <row r="310" spans="1:12">
      <c r="A310" s="132"/>
      <c r="L310" s="132"/>
    </row>
    <row r="311" spans="1:12">
      <c r="A311" s="132"/>
      <c r="L311" s="132"/>
    </row>
    <row r="312" spans="1:12">
      <c r="A312" s="132"/>
      <c r="L312" s="132"/>
    </row>
    <row r="313" spans="1:12">
      <c r="A313" s="132"/>
      <c r="L313" s="132"/>
    </row>
    <row r="314" spans="1:12">
      <c r="A314" s="132"/>
      <c r="L314" s="132"/>
    </row>
    <row r="315" spans="1:12">
      <c r="A315" s="132"/>
      <c r="L315" s="132"/>
    </row>
    <row r="316" spans="1:12">
      <c r="A316" s="132"/>
      <c r="L316" s="132"/>
    </row>
    <row r="317" spans="1:12">
      <c r="A317" s="132"/>
      <c r="L317" s="132"/>
    </row>
    <row r="318" spans="1:12">
      <c r="A318" s="132"/>
      <c r="L318" s="132"/>
    </row>
    <row r="319" spans="1:12">
      <c r="A319" s="132"/>
      <c r="L319" s="132"/>
    </row>
    <row r="320" spans="1:12">
      <c r="A320" s="132"/>
      <c r="L320" s="132"/>
    </row>
    <row r="321" spans="1:12">
      <c r="A321" s="132"/>
      <c r="L321" s="132"/>
    </row>
    <row r="322" spans="1:12">
      <c r="A322" s="132"/>
      <c r="L322" s="132"/>
    </row>
    <row r="323" spans="1:12">
      <c r="A323" s="132"/>
      <c r="L323" s="132"/>
    </row>
    <row r="324" spans="1:12">
      <c r="A324" s="132"/>
      <c r="L324" s="132"/>
    </row>
    <row r="325" spans="1:12">
      <c r="A325" s="132"/>
      <c r="L325" s="132"/>
    </row>
    <row r="326" spans="1:12">
      <c r="A326" s="132"/>
      <c r="L326" s="132"/>
    </row>
    <row r="327" spans="1:12">
      <c r="A327" s="132"/>
      <c r="L327" s="132"/>
    </row>
    <row r="328" spans="1:12">
      <c r="A328" s="132"/>
      <c r="L328" s="132"/>
    </row>
    <row r="329" spans="1:12">
      <c r="A329" s="132"/>
      <c r="L329" s="132"/>
    </row>
    <row r="330" spans="1:12">
      <c r="A330" s="132"/>
      <c r="L330" s="132"/>
    </row>
    <row r="331" spans="1:12">
      <c r="A331" s="132"/>
      <c r="L331" s="132"/>
    </row>
    <row r="332" spans="1:12">
      <c r="A332" s="132"/>
      <c r="L332" s="132"/>
    </row>
  </sheetData>
  <mergeCells count="3">
    <mergeCell ref="Y6:AA26"/>
    <mergeCell ref="Y31:AI31"/>
    <mergeCell ref="Y35:AI35"/>
  </mergeCells>
  <conditionalFormatting sqref="S1:S1048576">
    <cfRule type="containsText" dxfId="186" priority="1" operator="containsText" text="пополнение">
      <formula>NOT(ISERROR(SEARCH("пополнение",S1)))</formula>
    </cfRule>
    <cfRule type="containsText" dxfId="185" priority="2" operator="containsText" text="в пределах">
      <formula>NOT(ISERROR(SEARCH("в пределах",S1)))</formula>
    </cfRule>
    <cfRule type="containsText" dxfId="184" priority="3" operator="containsText" text="закрытие дебетового">
      <formula>NOT(ISERROR(SEARCH("закрытие дебетового",S1)))</formula>
    </cfRule>
    <cfRule type="containsText" dxfId="183" priority="4" operator="containsText" text="рублевый эквивалент">
      <formula>NOT(ISERROR(SEARCH("рублевый эквивалент",S1)))</formula>
    </cfRule>
    <cfRule type="containsText" dxfId="182" priority="5" operator="containsText" text="кредит">
      <formula>NOT(ISERROR(SEARCH("кредит",S1)))</formula>
    </cfRule>
    <cfRule type="containsText" dxfId="181" priority="6" operator="containsText" text="возврат">
      <formula>NOT(ISERROR(SEARCH("возврат",S1)))</formula>
    </cfRule>
    <cfRule type="containsText" dxfId="180" priority="7" operator="containsText" text="депозит">
      <formula>NOT(ISERROR(SEARCH("депозит",S1)))</formula>
    </cfRule>
    <cfRule type="containsText" dxfId="179" priority="8" operator="containsText" text="займ">
      <formula>NOT(ISERROR(SEARCH("займ",S1)))</formula>
    </cfRule>
    <cfRule type="containsText" dxfId="178" priority="9" operator="containsText" text="признание овердрафта">
      <formula>NOT(ISERROR(SEARCH("признание овердрафта",S1)))</formula>
    </cfRule>
    <cfRule type="containsText" dxfId="177" priority="10" operator="containsText" text="в рамках одного">
      <formula>NOT(ISERROR(SEARCH("в рамках одного",S1)))</formula>
    </cfRule>
  </conditionalFormatting>
  <dataValidations disablePrompts="1" count="1">
    <dataValidation type="list" allowBlank="1" showInputMessage="1" showErrorMessage="1" sqref="S1">
      <formula1>"Назначение"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AC116"/>
  <sheetViews>
    <sheetView topLeftCell="F1" zoomScale="85" zoomScaleNormal="85" workbookViewId="0">
      <selection activeCell="S1" sqref="S1:S1048576"/>
    </sheetView>
  </sheetViews>
  <sheetFormatPr defaultRowHeight="15"/>
  <cols>
    <col min="1" max="1" width="16.5703125" customWidth="1"/>
    <col min="9" max="9" width="12.5703125" customWidth="1"/>
    <col min="19" max="19" width="78.7109375" customWidth="1"/>
    <col min="26" max="26" width="16.7109375" customWidth="1"/>
    <col min="27" max="27" width="12" bestFit="1" customWidth="1"/>
    <col min="28" max="28" width="15.28515625" customWidth="1"/>
    <col min="29" max="29" width="14.7109375" bestFit="1" customWidth="1"/>
  </cols>
  <sheetData>
    <row r="1" spans="1:29" ht="37.5">
      <c r="A1" s="132"/>
      <c r="L1" s="132"/>
      <c r="Z1" s="407" t="s">
        <v>448</v>
      </c>
      <c r="AA1" s="408">
        <f>SUBTOTAL(9,I2:I100000)</f>
        <v>0</v>
      </c>
      <c r="AB1" s="407" t="s">
        <v>449</v>
      </c>
      <c r="AC1" s="408">
        <f>SUBTOTAL(9,G2:G100000)</f>
        <v>0</v>
      </c>
    </row>
    <row r="2" spans="1:29">
      <c r="A2" s="132"/>
      <c r="L2" s="132"/>
      <c r="AA2" s="136"/>
    </row>
    <row r="3" spans="1:29" ht="15" customHeight="1">
      <c r="A3" s="132"/>
      <c r="L3" s="132"/>
    </row>
    <row r="4" spans="1:29">
      <c r="A4" s="132"/>
      <c r="L4" s="132"/>
    </row>
    <row r="5" spans="1:29">
      <c r="A5" s="132"/>
      <c r="L5" s="132"/>
    </row>
    <row r="6" spans="1:29" ht="19.5" customHeight="1">
      <c r="A6" s="132"/>
      <c r="L6" s="132"/>
      <c r="Y6" s="469" t="str">
        <f>'поступл.на счет бел'!Y6:AA26</f>
        <v>КАК РАБОТАТЬ С ЭТИМ ФАЙЛОМ: 
1. вытянуть движения по счету за месяц из опердня 
2. Экспортировать их в Эксель
3. вставить это все сюда, стоя на ячейке А1
4. в столбце с назначением платежа (S) сделать фильтр по цвету "без заливки"
5. перейти в след. вкладку</v>
      </c>
      <c r="Z6" s="470"/>
      <c r="AA6" s="471"/>
    </row>
    <row r="7" spans="1:29">
      <c r="A7" s="132"/>
      <c r="L7" s="132"/>
      <c r="Y7" s="472"/>
      <c r="Z7" s="473"/>
      <c r="AA7" s="474"/>
    </row>
    <row r="8" spans="1:29">
      <c r="A8" s="132"/>
      <c r="L8" s="132"/>
      <c r="Y8" s="472"/>
      <c r="Z8" s="473"/>
      <c r="AA8" s="474"/>
    </row>
    <row r="9" spans="1:29">
      <c r="A9" s="132"/>
      <c r="L9" s="132"/>
      <c r="Y9" s="472"/>
      <c r="Z9" s="473"/>
      <c r="AA9" s="474"/>
    </row>
    <row r="10" spans="1:29">
      <c r="A10" s="132"/>
      <c r="L10" s="132"/>
      <c r="Y10" s="472"/>
      <c r="Z10" s="473"/>
      <c r="AA10" s="474"/>
    </row>
    <row r="11" spans="1:29">
      <c r="A11" s="132"/>
      <c r="L11" s="132"/>
      <c r="Y11" s="472"/>
      <c r="Z11" s="473"/>
      <c r="AA11" s="474"/>
    </row>
    <row r="12" spans="1:29">
      <c r="A12" s="132"/>
      <c r="L12" s="132"/>
      <c r="Y12" s="472"/>
      <c r="Z12" s="473"/>
      <c r="AA12" s="474"/>
    </row>
    <row r="13" spans="1:29">
      <c r="A13" s="132"/>
      <c r="L13" s="132"/>
      <c r="Y13" s="472"/>
      <c r="Z13" s="473"/>
      <c r="AA13" s="474"/>
    </row>
    <row r="14" spans="1:29">
      <c r="A14" s="132"/>
      <c r="L14" s="132"/>
      <c r="Y14" s="472"/>
      <c r="Z14" s="473"/>
      <c r="AA14" s="474"/>
    </row>
    <row r="15" spans="1:29">
      <c r="A15" s="132"/>
      <c r="L15" s="132"/>
      <c r="Y15" s="472"/>
      <c r="Z15" s="473"/>
      <c r="AA15" s="474"/>
    </row>
    <row r="16" spans="1:29" ht="15" customHeight="1">
      <c r="A16" s="132"/>
      <c r="L16" s="132"/>
      <c r="X16" s="134"/>
      <c r="Y16" s="478"/>
      <c r="Z16" s="479"/>
      <c r="AA16" s="480"/>
    </row>
    <row r="17" spans="1:27">
      <c r="A17" s="132"/>
      <c r="L17" s="132"/>
      <c r="X17" s="135"/>
      <c r="Y17" s="472"/>
      <c r="Z17" s="473"/>
      <c r="AA17" s="474"/>
    </row>
    <row r="18" spans="1:27">
      <c r="A18" s="132"/>
      <c r="L18" s="132"/>
      <c r="X18" s="135"/>
      <c r="Y18" s="472"/>
      <c r="Z18" s="473"/>
      <c r="AA18" s="474"/>
    </row>
    <row r="19" spans="1:27">
      <c r="A19" s="132"/>
      <c r="L19" s="132"/>
      <c r="X19" s="135"/>
      <c r="Y19" s="472"/>
      <c r="Z19" s="473"/>
      <c r="AA19" s="474"/>
    </row>
    <row r="20" spans="1:27">
      <c r="A20" s="132"/>
      <c r="L20" s="132"/>
      <c r="X20" s="135"/>
      <c r="Y20" s="472"/>
      <c r="Z20" s="473"/>
      <c r="AA20" s="474"/>
    </row>
    <row r="21" spans="1:27">
      <c r="A21" s="132"/>
      <c r="L21" s="132"/>
      <c r="X21" s="135"/>
      <c r="Y21" s="472"/>
      <c r="Z21" s="473"/>
      <c r="AA21" s="474"/>
    </row>
    <row r="22" spans="1:27">
      <c r="A22" s="132"/>
      <c r="L22" s="132"/>
      <c r="X22" s="135"/>
      <c r="Y22" s="472"/>
      <c r="Z22" s="473"/>
      <c r="AA22" s="474"/>
    </row>
    <row r="23" spans="1:27">
      <c r="A23" s="132"/>
      <c r="L23" s="132"/>
      <c r="X23" s="134"/>
      <c r="Y23" s="472"/>
      <c r="Z23" s="473"/>
      <c r="AA23" s="474"/>
    </row>
    <row r="24" spans="1:27">
      <c r="A24" s="132"/>
      <c r="L24" s="132"/>
      <c r="Y24" s="472"/>
      <c r="Z24" s="473"/>
      <c r="AA24" s="474"/>
    </row>
    <row r="25" spans="1:27">
      <c r="A25" s="132"/>
      <c r="L25" s="132"/>
      <c r="Y25" s="472"/>
      <c r="Z25" s="473"/>
      <c r="AA25" s="474"/>
    </row>
    <row r="26" spans="1:27">
      <c r="A26" s="132"/>
      <c r="L26" s="132"/>
      <c r="Y26" s="475"/>
      <c r="Z26" s="476"/>
      <c r="AA26" s="477"/>
    </row>
    <row r="27" spans="1:27">
      <c r="A27" s="132"/>
      <c r="L27" s="132"/>
    </row>
    <row r="28" spans="1:27">
      <c r="A28" s="132"/>
      <c r="L28" s="132"/>
    </row>
    <row r="29" spans="1:27">
      <c r="A29" s="132"/>
      <c r="L29" s="132"/>
    </row>
    <row r="30" spans="1:27">
      <c r="A30" s="132"/>
      <c r="L30" s="132"/>
    </row>
    <row r="31" spans="1:27">
      <c r="A31" s="132"/>
      <c r="L31" s="132"/>
    </row>
    <row r="32" spans="1:27" ht="15" customHeight="1">
      <c r="A32" s="132"/>
      <c r="L32" s="132"/>
    </row>
    <row r="33" spans="1:12" ht="15" customHeight="1">
      <c r="A33" s="132"/>
      <c r="L33" s="132"/>
    </row>
    <row r="34" spans="1:12">
      <c r="A34" s="132"/>
      <c r="L34" s="132"/>
    </row>
    <row r="35" spans="1:12">
      <c r="A35" s="132"/>
      <c r="L35" s="132"/>
    </row>
    <row r="36" spans="1:12">
      <c r="A36" s="132"/>
      <c r="L36" s="132"/>
    </row>
    <row r="37" spans="1:12">
      <c r="A37" s="132"/>
      <c r="L37" s="132"/>
    </row>
    <row r="38" spans="1:12">
      <c r="A38" s="132"/>
      <c r="L38" s="132"/>
    </row>
    <row r="39" spans="1:12">
      <c r="A39" s="132"/>
      <c r="L39" s="132"/>
    </row>
    <row r="40" spans="1:12">
      <c r="A40" s="132"/>
      <c r="L40" s="132"/>
    </row>
    <row r="41" spans="1:12">
      <c r="A41" s="132"/>
      <c r="L41" s="132"/>
    </row>
    <row r="42" spans="1:12">
      <c r="A42" s="132"/>
      <c r="L42" s="132"/>
    </row>
    <row r="43" spans="1:12">
      <c r="A43" s="132"/>
      <c r="L43" s="132"/>
    </row>
    <row r="44" spans="1:12">
      <c r="A44" s="132"/>
      <c r="L44" s="132"/>
    </row>
    <row r="45" spans="1:12">
      <c r="A45" s="132"/>
      <c r="L45" s="132"/>
    </row>
    <row r="46" spans="1:12">
      <c r="A46" s="132"/>
      <c r="L46" s="132"/>
    </row>
    <row r="47" spans="1:12">
      <c r="A47" s="132"/>
      <c r="L47" s="132"/>
    </row>
    <row r="48" spans="1:12">
      <c r="A48" s="132"/>
      <c r="L48" s="132"/>
    </row>
    <row r="49" spans="1:12">
      <c r="A49" s="132"/>
      <c r="L49" s="132"/>
    </row>
    <row r="50" spans="1:12">
      <c r="A50" s="132"/>
      <c r="L50" s="132"/>
    </row>
    <row r="51" spans="1:12">
      <c r="A51" s="132"/>
      <c r="L51" s="132"/>
    </row>
    <row r="52" spans="1:12">
      <c r="A52" s="132"/>
      <c r="L52" s="132"/>
    </row>
    <row r="53" spans="1:12">
      <c r="A53" s="132"/>
      <c r="L53" s="132"/>
    </row>
    <row r="54" spans="1:12">
      <c r="A54" s="132"/>
      <c r="L54" s="132"/>
    </row>
    <row r="55" spans="1:12">
      <c r="A55" s="132"/>
      <c r="L55" s="132"/>
    </row>
    <row r="56" spans="1:12">
      <c r="A56" s="132"/>
      <c r="L56" s="132"/>
    </row>
    <row r="57" spans="1:12">
      <c r="A57" s="132"/>
      <c r="L57" s="132"/>
    </row>
    <row r="58" spans="1:12">
      <c r="A58" s="132"/>
      <c r="L58" s="132"/>
    </row>
    <row r="59" spans="1:12">
      <c r="A59" s="132"/>
      <c r="L59" s="132"/>
    </row>
    <row r="60" spans="1:12">
      <c r="A60" s="132"/>
      <c r="L60" s="132"/>
    </row>
    <row r="61" spans="1:12">
      <c r="A61" s="132"/>
      <c r="L61" s="132"/>
    </row>
    <row r="62" spans="1:12">
      <c r="A62" s="132"/>
      <c r="L62" s="132"/>
    </row>
    <row r="63" spans="1:12">
      <c r="A63" s="132"/>
      <c r="L63" s="132"/>
    </row>
    <row r="64" spans="1:12">
      <c r="A64" s="132"/>
      <c r="L64" s="132"/>
    </row>
    <row r="65" spans="1:12">
      <c r="A65" s="132"/>
      <c r="L65" s="132"/>
    </row>
    <row r="66" spans="1:12">
      <c r="A66" s="132"/>
      <c r="L66" s="132"/>
    </row>
    <row r="67" spans="1:12">
      <c r="A67" s="132"/>
      <c r="L67" s="132"/>
    </row>
    <row r="68" spans="1:12">
      <c r="A68" s="132"/>
      <c r="L68" s="132"/>
    </row>
    <row r="69" spans="1:12">
      <c r="A69" s="132"/>
      <c r="L69" s="132"/>
    </row>
    <row r="70" spans="1:12">
      <c r="A70" s="132"/>
      <c r="L70" s="132"/>
    </row>
    <row r="71" spans="1:12">
      <c r="A71" s="132"/>
      <c r="L71" s="132"/>
    </row>
    <row r="72" spans="1:12">
      <c r="A72" s="132"/>
      <c r="L72" s="132"/>
    </row>
    <row r="73" spans="1:12">
      <c r="A73" s="132"/>
      <c r="L73" s="132"/>
    </row>
    <row r="74" spans="1:12">
      <c r="A74" s="132"/>
      <c r="L74" s="132"/>
    </row>
    <row r="75" spans="1:12">
      <c r="A75" s="132"/>
      <c r="L75" s="132"/>
    </row>
    <row r="76" spans="1:12">
      <c r="A76" s="132"/>
      <c r="L76" s="132"/>
    </row>
    <row r="77" spans="1:12">
      <c r="A77" s="132"/>
      <c r="L77" s="132"/>
    </row>
    <row r="78" spans="1:12">
      <c r="A78" s="132"/>
      <c r="L78" s="132"/>
    </row>
    <row r="79" spans="1:12">
      <c r="A79" s="132"/>
      <c r="L79" s="132"/>
    </row>
    <row r="80" spans="1:12">
      <c r="A80" s="132"/>
      <c r="L80" s="132"/>
    </row>
    <row r="81" spans="1:12">
      <c r="A81" s="132"/>
      <c r="L81" s="132"/>
    </row>
    <row r="82" spans="1:12">
      <c r="A82" s="132"/>
      <c r="L82" s="132"/>
    </row>
    <row r="83" spans="1:12">
      <c r="A83" s="132"/>
      <c r="L83" s="132"/>
    </row>
    <row r="84" spans="1:12">
      <c r="A84" s="132"/>
      <c r="L84" s="132"/>
    </row>
    <row r="85" spans="1:12">
      <c r="A85" s="132"/>
      <c r="L85" s="132"/>
    </row>
    <row r="86" spans="1:12">
      <c r="A86" s="132"/>
      <c r="L86" s="132"/>
    </row>
    <row r="87" spans="1:12">
      <c r="A87" s="132"/>
      <c r="L87" s="132"/>
    </row>
    <row r="88" spans="1:12">
      <c r="A88" s="132"/>
      <c r="L88" s="132"/>
    </row>
    <row r="89" spans="1:12">
      <c r="A89" s="132"/>
      <c r="L89" s="132"/>
    </row>
    <row r="90" spans="1:12">
      <c r="A90" s="132"/>
      <c r="L90" s="132"/>
    </row>
    <row r="91" spans="1:12">
      <c r="A91" s="132"/>
      <c r="L91" s="132"/>
    </row>
    <row r="92" spans="1:12">
      <c r="A92" s="132"/>
      <c r="L92" s="132"/>
    </row>
    <row r="93" spans="1:12">
      <c r="A93" s="132"/>
      <c r="L93" s="132"/>
    </row>
    <row r="94" spans="1:12">
      <c r="A94" s="132"/>
      <c r="L94" s="132"/>
    </row>
    <row r="95" spans="1:12">
      <c r="A95" s="132"/>
      <c r="L95" s="132"/>
    </row>
    <row r="96" spans="1:12">
      <c r="A96" s="132"/>
      <c r="L96" s="132"/>
    </row>
    <row r="97" spans="1:12">
      <c r="A97" s="132"/>
      <c r="L97" s="132"/>
    </row>
    <row r="98" spans="1:12">
      <c r="A98" s="132"/>
      <c r="L98" s="132"/>
    </row>
    <row r="99" spans="1:12">
      <c r="A99" s="132"/>
      <c r="L99" s="132"/>
    </row>
    <row r="100" spans="1:12">
      <c r="A100" s="132"/>
      <c r="L100" s="132"/>
    </row>
    <row r="101" spans="1:12">
      <c r="A101" s="132"/>
      <c r="L101" s="132"/>
    </row>
    <row r="102" spans="1:12">
      <c r="A102" s="132"/>
      <c r="L102" s="132"/>
    </row>
    <row r="103" spans="1:12">
      <c r="A103" s="132"/>
      <c r="L103" s="132"/>
    </row>
    <row r="104" spans="1:12">
      <c r="A104" s="132"/>
      <c r="L104" s="132"/>
    </row>
    <row r="105" spans="1:12">
      <c r="A105" s="132"/>
      <c r="L105" s="132"/>
    </row>
    <row r="106" spans="1:12">
      <c r="A106" s="132"/>
      <c r="L106" s="132"/>
    </row>
    <row r="107" spans="1:12">
      <c r="A107" s="132"/>
      <c r="L107" s="132"/>
    </row>
    <row r="108" spans="1:12">
      <c r="A108" s="132"/>
      <c r="L108" s="132"/>
    </row>
    <row r="109" spans="1:12">
      <c r="A109" s="132"/>
      <c r="L109" s="132"/>
    </row>
    <row r="110" spans="1:12">
      <c r="A110" s="132"/>
      <c r="L110" s="132"/>
    </row>
    <row r="111" spans="1:12">
      <c r="A111" s="132"/>
      <c r="L111" s="132"/>
    </row>
    <row r="112" spans="1:12">
      <c r="A112" s="132"/>
      <c r="L112" s="132"/>
    </row>
    <row r="113" spans="1:12">
      <c r="A113" s="132"/>
      <c r="L113" s="132"/>
    </row>
    <row r="114" spans="1:12">
      <c r="A114" s="132"/>
      <c r="L114" s="132"/>
    </row>
    <row r="115" spans="1:12">
      <c r="A115" s="132"/>
      <c r="L115" s="132"/>
    </row>
    <row r="116" spans="1:12">
      <c r="A116" s="132"/>
      <c r="L116" s="132"/>
    </row>
  </sheetData>
  <mergeCells count="1">
    <mergeCell ref="Y6:AA26"/>
  </mergeCells>
  <conditionalFormatting sqref="S1:S1048576">
    <cfRule type="containsText" dxfId="176" priority="1" operator="containsText" text="с покупкой">
      <formula>NOT(ISERROR(SEARCH("с покупкой",S1)))</formula>
    </cfRule>
    <cfRule type="containsText" dxfId="175" priority="2" operator="containsText" text="переоценка">
      <formula>NOT(ISERROR(SEARCH("переоценка",S1)))</formula>
    </cfRule>
    <cfRule type="containsText" dxfId="174" priority="3" operator="containsText" text="закрытие дебетового">
      <formula>NOT(ISERROR(SEARCH("закрытие дебетового",S1)))</formula>
    </cfRule>
    <cfRule type="containsText" dxfId="173" priority="4" operator="containsText" text="рублевый эквив">
      <formula>NOT(ISERROR(SEARCH("рублевый эквив",S1)))</formula>
    </cfRule>
    <cfRule type="containsText" dxfId="172" priority="5" operator="containsText" text="кредит">
      <formula>NOT(ISERROR(SEARCH("кредит",S1)))</formula>
    </cfRule>
    <cfRule type="containsText" dxfId="171" priority="6" operator="containsText" text="на покупку">
      <formula>NOT(ISERROR(SEARCH("на покупку",S1)))</formula>
    </cfRule>
    <cfRule type="containsText" dxfId="170" priority="7" operator="containsText" text="возврат">
      <formula>NOT(ISERROR(SEARCH("возврат",S1)))</formula>
    </cfRule>
    <cfRule type="containsText" dxfId="169" priority="8" operator="containsText" text="депозит">
      <formula>NOT(ISERROR(SEARCH("депозит",S1)))</formula>
    </cfRule>
    <cfRule type="containsText" dxfId="168" priority="9" operator="containsText" text="займ">
      <formula>NOT(ISERROR(SEARCH("займ",S1)))</formula>
    </cfRule>
    <cfRule type="containsText" dxfId="167" priority="10" operator="containsText" text="признание овердрафта">
      <formula>NOT(ISERROR(SEARCH("признание овердрафта",S1)))</formula>
    </cfRule>
    <cfRule type="containsText" dxfId="166" priority="11" operator="containsText" text="в рамках одного">
      <formula>NOT(ISERROR(SEARCH("в рамках одного",S1)))</formula>
    </cfRule>
  </conditionalFormatting>
  <dataValidations count="1">
    <dataValidation type="list" allowBlank="1" showInputMessage="1" showErrorMessage="1" sqref="S1">
      <formula1>"Назначение"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C116"/>
  <sheetViews>
    <sheetView topLeftCell="Q1" zoomScale="85" zoomScaleNormal="85" workbookViewId="0">
      <selection activeCell="S1" sqref="S1:S1048576"/>
    </sheetView>
  </sheetViews>
  <sheetFormatPr defaultRowHeight="15"/>
  <cols>
    <col min="1" max="1" width="16.5703125" customWidth="1"/>
    <col min="7" max="7" width="12.28515625" customWidth="1"/>
    <col min="9" max="9" width="15.42578125" customWidth="1"/>
    <col min="19" max="19" width="78.7109375" customWidth="1"/>
    <col min="26" max="26" width="15.5703125" customWidth="1"/>
    <col min="27" max="27" width="15.140625" customWidth="1"/>
    <col min="28" max="28" width="18.5703125" customWidth="1"/>
  </cols>
  <sheetData>
    <row r="1" spans="1:29" ht="35.25" customHeight="1">
      <c r="A1" s="132"/>
      <c r="L1" s="132"/>
      <c r="Z1" s="407" t="s">
        <v>450</v>
      </c>
      <c r="AA1" s="409">
        <f>SUBTOTAL(9,I2:I100000)</f>
        <v>0</v>
      </c>
      <c r="AB1" s="407" t="s">
        <v>449</v>
      </c>
      <c r="AC1" s="409">
        <f>SUBTOTAL(9,G2:G100000)</f>
        <v>0</v>
      </c>
    </row>
    <row r="2" spans="1:29">
      <c r="A2" s="132"/>
      <c r="L2" s="132"/>
    </row>
    <row r="3" spans="1:29">
      <c r="A3" s="132"/>
      <c r="L3" s="132"/>
    </row>
    <row r="4" spans="1:29">
      <c r="A4" s="132"/>
      <c r="L4" s="132"/>
    </row>
    <row r="5" spans="1:29">
      <c r="A5" s="132"/>
      <c r="L5" s="132"/>
    </row>
    <row r="6" spans="1:29" ht="19.5" customHeight="1">
      <c r="A6" s="132"/>
      <c r="L6" s="132"/>
      <c r="Y6" s="482" t="str">
        <f>'поступл на счет долл'!Y6:AA26</f>
        <v>КАК РАБОТАТЬ С ЭТИМ ФАЙЛОМ: 
1. вытянуть движения по счету за месяц из опердня 
2. Экспортировать их в Эксель
3. вставить это все сюда, стоя на ячейке А1
4. в столбце с назначением платежа (S) сделать фильтр по цвету "без заливки"
5. перейти в след. вкладку</v>
      </c>
      <c r="Z6" s="482"/>
      <c r="AA6" s="482"/>
    </row>
    <row r="7" spans="1:29">
      <c r="A7" s="132"/>
      <c r="L7" s="132"/>
      <c r="Y7" s="482"/>
      <c r="Z7" s="482"/>
      <c r="AA7" s="482"/>
    </row>
    <row r="8" spans="1:29">
      <c r="A8" s="132"/>
      <c r="L8" s="132"/>
      <c r="Y8" s="482"/>
      <c r="Z8" s="482"/>
      <c r="AA8" s="482"/>
    </row>
    <row r="9" spans="1:29">
      <c r="A9" s="132"/>
      <c r="L9" s="132"/>
      <c r="Y9" s="482"/>
      <c r="Z9" s="482"/>
      <c r="AA9" s="482"/>
    </row>
    <row r="10" spans="1:29">
      <c r="A10" s="132"/>
      <c r="L10" s="132"/>
      <c r="Y10" s="482"/>
      <c r="Z10" s="482"/>
      <c r="AA10" s="482"/>
    </row>
    <row r="11" spans="1:29">
      <c r="A11" s="132"/>
      <c r="L11" s="132"/>
      <c r="Y11" s="482"/>
      <c r="Z11" s="482"/>
      <c r="AA11" s="482"/>
    </row>
    <row r="12" spans="1:29">
      <c r="A12" s="132"/>
      <c r="L12" s="132"/>
      <c r="Y12" s="482"/>
      <c r="Z12" s="482"/>
      <c r="AA12" s="482"/>
    </row>
    <row r="13" spans="1:29">
      <c r="A13" s="132"/>
      <c r="L13" s="132"/>
      <c r="Y13" s="482"/>
      <c r="Z13" s="482"/>
      <c r="AA13" s="482"/>
    </row>
    <row r="14" spans="1:29">
      <c r="A14" s="132"/>
      <c r="L14" s="132"/>
      <c r="Y14" s="482"/>
      <c r="Z14" s="482"/>
      <c r="AA14" s="482"/>
    </row>
    <row r="15" spans="1:29">
      <c r="A15" s="132"/>
      <c r="L15" s="132"/>
      <c r="Y15" s="482"/>
      <c r="Z15" s="482"/>
      <c r="AA15" s="482"/>
    </row>
    <row r="16" spans="1:29" ht="15" customHeight="1">
      <c r="A16" s="132"/>
      <c r="L16" s="132"/>
      <c r="X16" s="134"/>
      <c r="Y16" s="478"/>
      <c r="Z16" s="479"/>
      <c r="AA16" s="480"/>
    </row>
    <row r="17" spans="1:27">
      <c r="A17" s="132"/>
      <c r="L17" s="132"/>
      <c r="X17" s="135"/>
      <c r="Y17" s="482"/>
      <c r="Z17" s="482"/>
      <c r="AA17" s="482"/>
    </row>
    <row r="18" spans="1:27">
      <c r="A18" s="132"/>
      <c r="L18" s="132"/>
      <c r="X18" s="135"/>
      <c r="Y18" s="482"/>
      <c r="Z18" s="482"/>
      <c r="AA18" s="482"/>
    </row>
    <row r="19" spans="1:27">
      <c r="A19" s="132"/>
      <c r="L19" s="132"/>
      <c r="X19" s="135"/>
      <c r="Y19" s="482"/>
      <c r="Z19" s="482"/>
      <c r="AA19" s="482"/>
    </row>
    <row r="20" spans="1:27">
      <c r="A20" s="132"/>
      <c r="L20" s="132"/>
      <c r="X20" s="135"/>
      <c r="Y20" s="482"/>
      <c r="Z20" s="482"/>
      <c r="AA20" s="482"/>
    </row>
    <row r="21" spans="1:27">
      <c r="A21" s="132"/>
      <c r="L21" s="132"/>
      <c r="X21" s="135"/>
      <c r="Y21" s="482"/>
      <c r="Z21" s="482"/>
      <c r="AA21" s="482"/>
    </row>
    <row r="22" spans="1:27">
      <c r="A22" s="132"/>
      <c r="L22" s="132"/>
      <c r="X22" s="135"/>
      <c r="Y22" s="482"/>
      <c r="Z22" s="482"/>
      <c r="AA22" s="482"/>
    </row>
    <row r="23" spans="1:27">
      <c r="A23" s="132"/>
      <c r="L23" s="132"/>
      <c r="X23" s="134"/>
      <c r="Y23" s="482"/>
      <c r="Z23" s="482"/>
      <c r="AA23" s="482"/>
    </row>
    <row r="24" spans="1:27">
      <c r="A24" s="132"/>
      <c r="L24" s="132"/>
      <c r="Y24" s="482"/>
      <c r="Z24" s="482"/>
      <c r="AA24" s="482"/>
    </row>
    <row r="25" spans="1:27">
      <c r="A25" s="132"/>
      <c r="L25" s="132"/>
      <c r="Y25" s="482"/>
      <c r="Z25" s="482"/>
      <c r="AA25" s="482"/>
    </row>
    <row r="26" spans="1:27">
      <c r="A26" s="132"/>
      <c r="L26" s="132"/>
      <c r="Y26" s="482"/>
      <c r="Z26" s="482"/>
      <c r="AA26" s="482"/>
    </row>
    <row r="27" spans="1:27">
      <c r="A27" s="132"/>
      <c r="L27" s="132"/>
    </row>
    <row r="28" spans="1:27">
      <c r="A28" s="132"/>
      <c r="L28" s="132"/>
    </row>
    <row r="29" spans="1:27">
      <c r="A29" s="132"/>
      <c r="L29" s="132"/>
    </row>
    <row r="30" spans="1:27">
      <c r="A30" s="132"/>
      <c r="L30" s="132"/>
    </row>
    <row r="31" spans="1:27">
      <c r="A31" s="132"/>
      <c r="L31" s="132"/>
    </row>
    <row r="32" spans="1:27">
      <c r="A32" s="132"/>
      <c r="L32" s="132"/>
    </row>
    <row r="33" spans="1:12">
      <c r="A33" s="132"/>
      <c r="L33" s="132"/>
    </row>
    <row r="34" spans="1:12">
      <c r="A34" s="132"/>
      <c r="L34" s="132"/>
    </row>
    <row r="35" spans="1:12">
      <c r="A35" s="132"/>
      <c r="L35" s="132"/>
    </row>
    <row r="36" spans="1:12">
      <c r="A36" s="132"/>
      <c r="L36" s="132"/>
    </row>
    <row r="37" spans="1:12">
      <c r="A37" s="132"/>
      <c r="L37" s="132"/>
    </row>
    <row r="38" spans="1:12">
      <c r="A38" s="132"/>
      <c r="L38" s="132"/>
    </row>
    <row r="39" spans="1:12">
      <c r="A39" s="132"/>
      <c r="L39" s="132"/>
    </row>
    <row r="40" spans="1:12">
      <c r="A40" s="132"/>
      <c r="L40" s="132"/>
    </row>
    <row r="41" spans="1:12">
      <c r="A41" s="132"/>
      <c r="L41" s="132"/>
    </row>
    <row r="42" spans="1:12">
      <c r="A42" s="132"/>
      <c r="L42" s="132"/>
    </row>
    <row r="43" spans="1:12">
      <c r="A43" s="132"/>
      <c r="L43" s="132"/>
    </row>
    <row r="44" spans="1:12">
      <c r="A44" s="132"/>
      <c r="L44" s="132"/>
    </row>
    <row r="45" spans="1:12">
      <c r="A45" s="132"/>
      <c r="L45" s="132"/>
    </row>
    <row r="46" spans="1:12">
      <c r="A46" s="132"/>
      <c r="L46" s="132"/>
    </row>
    <row r="47" spans="1:12">
      <c r="A47" s="132"/>
      <c r="L47" s="132"/>
    </row>
    <row r="48" spans="1:12">
      <c r="A48" s="132"/>
      <c r="L48" s="132"/>
    </row>
    <row r="49" spans="1:12">
      <c r="A49" s="132"/>
      <c r="L49" s="132"/>
    </row>
    <row r="50" spans="1:12">
      <c r="A50" s="132"/>
      <c r="L50" s="132"/>
    </row>
    <row r="51" spans="1:12">
      <c r="A51" s="132"/>
      <c r="L51" s="132"/>
    </row>
    <row r="52" spans="1:12">
      <c r="A52" s="132"/>
      <c r="L52" s="132"/>
    </row>
    <row r="53" spans="1:12">
      <c r="A53" s="132"/>
      <c r="L53" s="132"/>
    </row>
    <row r="54" spans="1:12">
      <c r="A54" s="132"/>
      <c r="L54" s="132"/>
    </row>
    <row r="55" spans="1:12">
      <c r="A55" s="132"/>
      <c r="L55" s="132"/>
    </row>
    <row r="56" spans="1:12">
      <c r="A56" s="132"/>
      <c r="L56" s="132"/>
    </row>
    <row r="57" spans="1:12">
      <c r="A57" s="132"/>
      <c r="L57" s="132"/>
    </row>
    <row r="58" spans="1:12">
      <c r="A58" s="132"/>
      <c r="L58" s="132"/>
    </row>
    <row r="59" spans="1:12">
      <c r="A59" s="132"/>
      <c r="L59" s="132"/>
    </row>
    <row r="60" spans="1:12">
      <c r="A60" s="132"/>
      <c r="L60" s="132"/>
    </row>
    <row r="61" spans="1:12">
      <c r="A61" s="132"/>
      <c r="L61" s="132"/>
    </row>
    <row r="62" spans="1:12">
      <c r="A62" s="132"/>
      <c r="L62" s="132"/>
    </row>
    <row r="63" spans="1:12">
      <c r="A63" s="132"/>
      <c r="L63" s="132"/>
    </row>
    <row r="64" spans="1:12">
      <c r="A64" s="132"/>
      <c r="L64" s="132"/>
    </row>
    <row r="65" spans="1:12">
      <c r="A65" s="132"/>
      <c r="L65" s="132"/>
    </row>
    <row r="66" spans="1:12">
      <c r="A66" s="132"/>
      <c r="L66" s="132"/>
    </row>
    <row r="67" spans="1:12">
      <c r="A67" s="132"/>
      <c r="L67" s="132"/>
    </row>
    <row r="68" spans="1:12">
      <c r="A68" s="132"/>
      <c r="L68" s="132"/>
    </row>
    <row r="69" spans="1:12">
      <c r="A69" s="132"/>
      <c r="L69" s="132"/>
    </row>
    <row r="70" spans="1:12">
      <c r="A70" s="132"/>
      <c r="L70" s="132"/>
    </row>
    <row r="71" spans="1:12">
      <c r="A71" s="132"/>
      <c r="L71" s="132"/>
    </row>
    <row r="72" spans="1:12">
      <c r="A72" s="132"/>
      <c r="L72" s="132"/>
    </row>
    <row r="73" spans="1:12">
      <c r="A73" s="132"/>
      <c r="L73" s="132"/>
    </row>
    <row r="74" spans="1:12">
      <c r="A74" s="132"/>
      <c r="L74" s="132"/>
    </row>
    <row r="75" spans="1:12">
      <c r="A75" s="132"/>
      <c r="L75" s="132"/>
    </row>
    <row r="76" spans="1:12">
      <c r="A76" s="132"/>
      <c r="L76" s="132"/>
    </row>
    <row r="77" spans="1:12">
      <c r="A77" s="132"/>
      <c r="L77" s="132"/>
    </row>
    <row r="78" spans="1:12">
      <c r="A78" s="132"/>
      <c r="L78" s="132"/>
    </row>
    <row r="79" spans="1:12">
      <c r="A79" s="132"/>
      <c r="L79" s="132"/>
    </row>
    <row r="80" spans="1:12">
      <c r="A80" s="132"/>
      <c r="L80" s="132"/>
    </row>
    <row r="81" spans="1:12">
      <c r="A81" s="132"/>
      <c r="L81" s="132"/>
    </row>
    <row r="82" spans="1:12">
      <c r="A82" s="132"/>
      <c r="L82" s="132"/>
    </row>
    <row r="83" spans="1:12">
      <c r="A83" s="132"/>
      <c r="L83" s="132"/>
    </row>
    <row r="84" spans="1:12">
      <c r="A84" s="132"/>
      <c r="L84" s="132"/>
    </row>
    <row r="85" spans="1:12">
      <c r="A85" s="132"/>
      <c r="L85" s="132"/>
    </row>
    <row r="86" spans="1:12">
      <c r="A86" s="132"/>
      <c r="L86" s="132"/>
    </row>
    <row r="87" spans="1:12">
      <c r="A87" s="132"/>
      <c r="L87" s="132"/>
    </row>
    <row r="88" spans="1:12">
      <c r="A88" s="132"/>
      <c r="L88" s="132"/>
    </row>
    <row r="89" spans="1:12">
      <c r="A89" s="132"/>
      <c r="L89" s="132"/>
    </row>
    <row r="90" spans="1:12">
      <c r="A90" s="132"/>
      <c r="L90" s="132"/>
    </row>
    <row r="91" spans="1:12">
      <c r="A91" s="132"/>
      <c r="L91" s="132"/>
    </row>
    <row r="92" spans="1:12">
      <c r="A92" s="132"/>
      <c r="L92" s="132"/>
    </row>
    <row r="93" spans="1:12">
      <c r="A93" s="132"/>
      <c r="L93" s="132"/>
    </row>
    <row r="94" spans="1:12">
      <c r="A94" s="132"/>
      <c r="L94" s="132"/>
    </row>
    <row r="95" spans="1:12">
      <c r="A95" s="132"/>
      <c r="L95" s="132"/>
    </row>
    <row r="96" spans="1:12">
      <c r="A96" s="132"/>
      <c r="L96" s="132"/>
    </row>
    <row r="97" spans="1:12">
      <c r="A97" s="132"/>
      <c r="L97" s="132"/>
    </row>
    <row r="98" spans="1:12">
      <c r="A98" s="132"/>
      <c r="L98" s="132"/>
    </row>
    <row r="99" spans="1:12">
      <c r="A99" s="132"/>
      <c r="L99" s="132"/>
    </row>
    <row r="100" spans="1:12">
      <c r="A100" s="132"/>
      <c r="L100" s="132"/>
    </row>
    <row r="101" spans="1:12">
      <c r="A101" s="132"/>
      <c r="L101" s="132"/>
    </row>
    <row r="102" spans="1:12">
      <c r="A102" s="132"/>
      <c r="L102" s="132"/>
    </row>
    <row r="103" spans="1:12">
      <c r="A103" s="132"/>
      <c r="L103" s="132"/>
    </row>
    <row r="104" spans="1:12">
      <c r="A104" s="132"/>
      <c r="L104" s="132"/>
    </row>
    <row r="105" spans="1:12">
      <c r="A105" s="132"/>
      <c r="L105" s="132"/>
    </row>
    <row r="106" spans="1:12">
      <c r="A106" s="132"/>
      <c r="L106" s="132"/>
    </row>
    <row r="107" spans="1:12">
      <c r="A107" s="132"/>
      <c r="L107" s="132"/>
    </row>
    <row r="108" spans="1:12">
      <c r="A108" s="132"/>
      <c r="L108" s="132"/>
    </row>
    <row r="109" spans="1:12">
      <c r="A109" s="132"/>
      <c r="L109" s="132"/>
    </row>
    <row r="110" spans="1:12">
      <c r="A110" s="132"/>
      <c r="L110" s="132"/>
    </row>
    <row r="111" spans="1:12">
      <c r="A111" s="132"/>
      <c r="L111" s="132"/>
    </row>
    <row r="112" spans="1:12">
      <c r="A112" s="132"/>
      <c r="L112" s="132"/>
    </row>
    <row r="113" spans="1:12">
      <c r="A113" s="132"/>
      <c r="L113" s="132"/>
    </row>
    <row r="114" spans="1:12">
      <c r="A114" s="132"/>
      <c r="L114" s="132"/>
    </row>
    <row r="115" spans="1:12">
      <c r="A115" s="132"/>
      <c r="L115" s="132"/>
    </row>
    <row r="116" spans="1:12">
      <c r="A116" s="132"/>
      <c r="L116" s="132"/>
    </row>
  </sheetData>
  <mergeCells count="1">
    <mergeCell ref="Y6:AA26"/>
  </mergeCells>
  <conditionalFormatting sqref="S1:S1048576">
    <cfRule type="containsText" dxfId="165" priority="1" operator="containsText" text="с покупкой">
      <formula>NOT(ISERROR(SEARCH("с покупкой",S1)))</formula>
    </cfRule>
    <cfRule type="containsText" dxfId="164" priority="2" operator="containsText" text="переоценка">
      <formula>NOT(ISERROR(SEARCH("переоценка",S1)))</formula>
    </cfRule>
    <cfRule type="containsText" dxfId="163" priority="3" operator="containsText" text="закрытие дебетового">
      <formula>NOT(ISERROR(SEARCH("закрытие дебетового",S1)))</formula>
    </cfRule>
    <cfRule type="containsText" dxfId="162" priority="4" operator="containsText" text="на покупку">
      <formula>NOT(ISERROR(SEARCH("на покупку",S1)))</formula>
    </cfRule>
    <cfRule type="containsText" dxfId="161" priority="5" operator="containsText" text="кредит">
      <formula>NOT(ISERROR(SEARCH("кредит",S1)))</formula>
    </cfRule>
    <cfRule type="containsText" dxfId="160" priority="6" operator="containsText" text="возврат">
      <formula>NOT(ISERROR(SEARCH("возврат",S1)))</formula>
    </cfRule>
    <cfRule type="containsText" dxfId="159" priority="7" operator="containsText" text="депозит">
      <formula>NOT(ISERROR(SEARCH("депозит",S1)))</formula>
    </cfRule>
    <cfRule type="containsText" dxfId="158" priority="8" operator="containsText" text="займ">
      <formula>NOT(ISERROR(SEARCH("займ",S1)))</formula>
    </cfRule>
    <cfRule type="containsText" dxfId="157" priority="9" operator="containsText" text="признание овердрафта">
      <formula>NOT(ISERROR(SEARCH("признание овердрафта",S1)))</formula>
    </cfRule>
    <cfRule type="containsText" dxfId="156" priority="10" operator="containsText" text="в рамках одного">
      <formula>NOT(ISERROR(SEARCH("в рамках одного",S1)))</formula>
    </cfRule>
  </conditionalFormatting>
  <dataValidations count="1">
    <dataValidation type="list" allowBlank="1" showInputMessage="1" showErrorMessage="1" sqref="S1">
      <formula1>"Назначение"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C376"/>
  <sheetViews>
    <sheetView topLeftCell="S1" zoomScale="85" zoomScaleNormal="85" workbookViewId="0">
      <selection activeCell="S1" sqref="S1:S1048576"/>
    </sheetView>
  </sheetViews>
  <sheetFormatPr defaultRowHeight="15"/>
  <cols>
    <col min="1" max="1" width="16.5703125" customWidth="1"/>
    <col min="19" max="19" width="78.7109375" customWidth="1"/>
    <col min="26" max="26" width="21.85546875" customWidth="1"/>
    <col min="27" max="27" width="13.7109375" customWidth="1"/>
    <col min="28" max="28" width="24.42578125" customWidth="1"/>
  </cols>
  <sheetData>
    <row r="1" spans="1:29" ht="18.75">
      <c r="A1" s="132"/>
      <c r="L1" s="132"/>
      <c r="Z1" s="407" t="s">
        <v>451</v>
      </c>
      <c r="AA1" s="408">
        <f>SUBTOTAL(9,I2:I100000)</f>
        <v>0</v>
      </c>
      <c r="AB1" s="407" t="s">
        <v>449</v>
      </c>
      <c r="AC1" s="408">
        <f>SUBTOTAL(9,G2:G100000)</f>
        <v>0</v>
      </c>
    </row>
    <row r="2" spans="1:29">
      <c r="A2" s="132"/>
      <c r="L2" s="132"/>
      <c r="AA2" s="410"/>
    </row>
    <row r="3" spans="1:29" ht="15" customHeight="1">
      <c r="A3" s="132"/>
      <c r="L3" s="132"/>
    </row>
    <row r="4" spans="1:29" ht="15" customHeight="1">
      <c r="A4" s="132"/>
      <c r="L4" s="132"/>
    </row>
    <row r="5" spans="1:29">
      <c r="A5" s="132"/>
      <c r="L5" s="132"/>
    </row>
    <row r="6" spans="1:29" ht="19.5" customHeight="1">
      <c r="A6" s="132"/>
      <c r="L6" s="132"/>
      <c r="Y6" s="482" t="str">
        <f>'поступл.на счет бел'!Y6:AA26</f>
        <v>КАК РАБОТАТЬ С ЭТИМ ФАЙЛОМ: 
1. вытянуть движения по счету за месяц из опердня 
2. Экспортировать их в Эксель
3. вставить это все сюда, стоя на ячейке А1
4. в столбце с назначением платежа (S) сделать фильтр по цвету "без заливки"
5. перейти в след. вкладку</v>
      </c>
      <c r="Z6" s="482"/>
      <c r="AA6" s="482"/>
    </row>
    <row r="7" spans="1:29" ht="15" customHeight="1">
      <c r="A7" s="132"/>
      <c r="L7" s="132"/>
      <c r="Y7" s="482"/>
      <c r="Z7" s="482"/>
      <c r="AA7" s="482"/>
    </row>
    <row r="8" spans="1:29">
      <c r="A8" s="132"/>
      <c r="L8" s="132"/>
      <c r="Y8" s="482"/>
      <c r="Z8" s="482"/>
      <c r="AA8" s="482"/>
    </row>
    <row r="9" spans="1:29">
      <c r="A9" s="132"/>
      <c r="L9" s="132"/>
      <c r="Y9" s="482"/>
      <c r="Z9" s="482"/>
      <c r="AA9" s="482"/>
    </row>
    <row r="10" spans="1:29">
      <c r="A10" s="132"/>
      <c r="L10" s="132"/>
      <c r="Y10" s="482"/>
      <c r="Z10" s="482"/>
      <c r="AA10" s="482"/>
    </row>
    <row r="11" spans="1:29">
      <c r="A11" s="132"/>
      <c r="L11" s="132"/>
      <c r="Y11" s="482"/>
      <c r="Z11" s="482"/>
      <c r="AA11" s="482"/>
    </row>
    <row r="12" spans="1:29">
      <c r="A12" s="132"/>
      <c r="L12" s="132"/>
      <c r="Y12" s="482"/>
      <c r="Z12" s="482"/>
      <c r="AA12" s="482"/>
    </row>
    <row r="13" spans="1:29">
      <c r="A13" s="132"/>
      <c r="L13" s="132"/>
      <c r="Y13" s="482"/>
      <c r="Z13" s="482"/>
      <c r="AA13" s="482"/>
    </row>
    <row r="14" spans="1:29">
      <c r="A14" s="132"/>
      <c r="L14" s="132"/>
      <c r="Y14" s="482"/>
      <c r="Z14" s="482"/>
      <c r="AA14" s="482"/>
    </row>
    <row r="15" spans="1:29" ht="15" customHeight="1">
      <c r="A15" s="132"/>
      <c r="L15" s="132"/>
      <c r="Y15" s="482"/>
      <c r="Z15" s="482"/>
      <c r="AA15" s="482"/>
    </row>
    <row r="16" spans="1:29" ht="15" customHeight="1">
      <c r="A16" s="132"/>
      <c r="L16" s="132"/>
      <c r="X16" s="134"/>
      <c r="Y16" s="478"/>
      <c r="Z16" s="479"/>
      <c r="AA16" s="480"/>
    </row>
    <row r="17" spans="1:27">
      <c r="A17" s="132"/>
      <c r="L17" s="132"/>
      <c r="X17" s="135"/>
      <c r="Y17" s="482"/>
      <c r="Z17" s="482"/>
      <c r="AA17" s="482"/>
    </row>
    <row r="18" spans="1:27" ht="15" customHeight="1">
      <c r="A18" s="132"/>
      <c r="L18" s="132"/>
      <c r="X18" s="135"/>
      <c r="Y18" s="482"/>
      <c r="Z18" s="482"/>
      <c r="AA18" s="482"/>
    </row>
    <row r="19" spans="1:27">
      <c r="A19" s="132"/>
      <c r="L19" s="132"/>
      <c r="X19" s="135"/>
      <c r="Y19" s="482"/>
      <c r="Z19" s="482"/>
      <c r="AA19" s="482"/>
    </row>
    <row r="20" spans="1:27" ht="15" customHeight="1">
      <c r="A20" s="132"/>
      <c r="L20" s="132"/>
      <c r="X20" s="135"/>
      <c r="Y20" s="482"/>
      <c r="Z20" s="482"/>
      <c r="AA20" s="482"/>
    </row>
    <row r="21" spans="1:27">
      <c r="A21" s="132"/>
      <c r="L21" s="132"/>
      <c r="X21" s="135"/>
      <c r="Y21" s="482"/>
      <c r="Z21" s="482"/>
      <c r="AA21" s="482"/>
    </row>
    <row r="22" spans="1:27">
      <c r="A22" s="132"/>
      <c r="L22" s="132"/>
      <c r="X22" s="135"/>
      <c r="Y22" s="482"/>
      <c r="Z22" s="482"/>
      <c r="AA22" s="482"/>
    </row>
    <row r="23" spans="1:27" ht="15" customHeight="1">
      <c r="A23" s="132"/>
      <c r="L23" s="132"/>
      <c r="X23" s="134"/>
      <c r="Y23" s="482"/>
      <c r="Z23" s="482"/>
      <c r="AA23" s="482"/>
    </row>
    <row r="24" spans="1:27">
      <c r="A24" s="132"/>
      <c r="L24" s="132"/>
      <c r="Y24" s="482"/>
      <c r="Z24" s="482"/>
      <c r="AA24" s="482"/>
    </row>
    <row r="25" spans="1:27">
      <c r="A25" s="132"/>
      <c r="L25" s="132"/>
      <c r="Y25" s="482"/>
      <c r="Z25" s="482"/>
      <c r="AA25" s="482"/>
    </row>
    <row r="26" spans="1:27">
      <c r="A26" s="132"/>
      <c r="L26" s="132"/>
      <c r="Y26" s="482"/>
      <c r="Z26" s="482"/>
      <c r="AA26" s="482"/>
    </row>
    <row r="27" spans="1:27">
      <c r="A27" s="132"/>
      <c r="L27" s="132"/>
    </row>
    <row r="28" spans="1:27">
      <c r="A28" s="132"/>
      <c r="L28" s="132"/>
    </row>
    <row r="29" spans="1:27">
      <c r="A29" s="132"/>
      <c r="L29" s="132"/>
    </row>
    <row r="30" spans="1:27">
      <c r="A30" s="132"/>
      <c r="L30" s="132"/>
    </row>
    <row r="31" spans="1:27">
      <c r="A31" s="132"/>
      <c r="L31" s="132"/>
    </row>
    <row r="32" spans="1:27" ht="15" customHeight="1">
      <c r="A32" s="132"/>
      <c r="L32" s="132"/>
    </row>
    <row r="33" spans="1:12" ht="15" customHeight="1">
      <c r="A33" s="132"/>
      <c r="L33" s="132"/>
    </row>
    <row r="34" spans="1:12">
      <c r="A34" s="132"/>
      <c r="L34" s="132"/>
    </row>
    <row r="35" spans="1:12" ht="15" customHeight="1">
      <c r="A35" s="132"/>
      <c r="L35" s="132"/>
    </row>
    <row r="36" spans="1:12">
      <c r="A36" s="132"/>
      <c r="L36" s="132"/>
    </row>
    <row r="37" spans="1:12">
      <c r="A37" s="132"/>
      <c r="L37" s="132"/>
    </row>
    <row r="38" spans="1:12">
      <c r="A38" s="132"/>
      <c r="L38" s="132"/>
    </row>
    <row r="39" spans="1:12">
      <c r="A39" s="132"/>
      <c r="L39" s="132"/>
    </row>
    <row r="40" spans="1:12">
      <c r="A40" s="132"/>
      <c r="L40" s="132"/>
    </row>
    <row r="41" spans="1:12" ht="15" customHeight="1">
      <c r="A41" s="132"/>
      <c r="L41" s="132"/>
    </row>
    <row r="42" spans="1:12">
      <c r="A42" s="132"/>
      <c r="L42" s="132"/>
    </row>
    <row r="43" spans="1:12">
      <c r="A43" s="132"/>
      <c r="L43" s="132"/>
    </row>
    <row r="44" spans="1:12">
      <c r="A44" s="132"/>
      <c r="L44" s="132"/>
    </row>
    <row r="45" spans="1:12" ht="15" customHeight="1">
      <c r="A45" s="132"/>
      <c r="L45" s="132"/>
    </row>
    <row r="46" spans="1:12">
      <c r="A46" s="132"/>
      <c r="L46" s="132"/>
    </row>
    <row r="47" spans="1:12">
      <c r="A47" s="132"/>
      <c r="L47" s="132"/>
    </row>
    <row r="48" spans="1:12" ht="15" customHeight="1">
      <c r="A48" s="132"/>
      <c r="L48" s="132"/>
    </row>
    <row r="49" spans="1:12">
      <c r="A49" s="132"/>
      <c r="L49" s="132"/>
    </row>
    <row r="50" spans="1:12" ht="15" customHeight="1">
      <c r="A50" s="132"/>
      <c r="L50" s="132"/>
    </row>
    <row r="51" spans="1:12" ht="15" customHeight="1">
      <c r="A51" s="132"/>
      <c r="L51" s="132"/>
    </row>
    <row r="52" spans="1:12" ht="15" customHeight="1">
      <c r="A52" s="132"/>
      <c r="L52" s="132"/>
    </row>
    <row r="53" spans="1:12">
      <c r="A53" s="132"/>
      <c r="L53" s="132"/>
    </row>
    <row r="54" spans="1:12">
      <c r="A54" s="132"/>
      <c r="L54" s="132"/>
    </row>
    <row r="55" spans="1:12">
      <c r="A55" s="132"/>
      <c r="L55" s="132"/>
    </row>
    <row r="56" spans="1:12">
      <c r="A56" s="132"/>
      <c r="L56" s="132"/>
    </row>
    <row r="57" spans="1:12" ht="15" customHeight="1">
      <c r="A57" s="132"/>
      <c r="L57" s="132"/>
    </row>
    <row r="58" spans="1:12">
      <c r="A58" s="132"/>
      <c r="L58" s="132"/>
    </row>
    <row r="59" spans="1:12" ht="15" customHeight="1">
      <c r="A59" s="132"/>
      <c r="L59" s="132"/>
    </row>
    <row r="60" spans="1:12">
      <c r="A60" s="132"/>
      <c r="L60" s="132"/>
    </row>
    <row r="61" spans="1:12">
      <c r="A61" s="132"/>
      <c r="L61" s="132"/>
    </row>
    <row r="62" spans="1:12">
      <c r="A62" s="132"/>
      <c r="L62" s="132"/>
    </row>
    <row r="63" spans="1:12">
      <c r="A63" s="132"/>
      <c r="L63" s="132"/>
    </row>
    <row r="64" spans="1:12">
      <c r="A64" s="132"/>
      <c r="L64" s="132"/>
    </row>
    <row r="65" spans="1:12">
      <c r="A65" s="132"/>
      <c r="L65" s="132"/>
    </row>
    <row r="66" spans="1:12">
      <c r="A66" s="132"/>
      <c r="L66" s="132"/>
    </row>
    <row r="67" spans="1:12">
      <c r="A67" s="132"/>
      <c r="L67" s="132"/>
    </row>
    <row r="68" spans="1:12">
      <c r="A68" s="132"/>
      <c r="L68" s="132"/>
    </row>
    <row r="69" spans="1:12">
      <c r="A69" s="132"/>
      <c r="L69" s="132"/>
    </row>
    <row r="70" spans="1:12">
      <c r="A70" s="132"/>
      <c r="L70" s="132"/>
    </row>
    <row r="71" spans="1:12">
      <c r="A71" s="132"/>
      <c r="L71" s="132"/>
    </row>
    <row r="72" spans="1:12" ht="15" customHeight="1">
      <c r="A72" s="132"/>
      <c r="L72" s="132"/>
    </row>
    <row r="73" spans="1:12" ht="15" customHeight="1">
      <c r="A73" s="132"/>
      <c r="L73" s="132"/>
    </row>
    <row r="74" spans="1:12" ht="15" customHeight="1">
      <c r="A74" s="132"/>
      <c r="L74" s="132"/>
    </row>
    <row r="75" spans="1:12" ht="15" customHeight="1">
      <c r="A75" s="132"/>
      <c r="L75" s="132"/>
    </row>
    <row r="76" spans="1:12" ht="15" customHeight="1">
      <c r="A76" s="132"/>
      <c r="L76" s="132"/>
    </row>
    <row r="77" spans="1:12" ht="15" customHeight="1">
      <c r="A77" s="132"/>
      <c r="L77" s="132"/>
    </row>
    <row r="78" spans="1:12" ht="15" customHeight="1">
      <c r="A78" s="132"/>
      <c r="L78" s="132"/>
    </row>
    <row r="79" spans="1:12" ht="15" customHeight="1">
      <c r="A79" s="132"/>
      <c r="L79" s="132"/>
    </row>
    <row r="80" spans="1:12" ht="15" customHeight="1">
      <c r="A80" s="132"/>
      <c r="L80" s="132"/>
    </row>
    <row r="81" spans="1:12" ht="15" customHeight="1">
      <c r="A81" s="132"/>
      <c r="L81" s="132"/>
    </row>
    <row r="82" spans="1:12" ht="15" customHeight="1">
      <c r="A82" s="132"/>
      <c r="L82" s="132"/>
    </row>
    <row r="83" spans="1:12" ht="15" customHeight="1">
      <c r="A83" s="132"/>
      <c r="L83" s="132"/>
    </row>
    <row r="84" spans="1:12" ht="15" customHeight="1">
      <c r="A84" s="132"/>
      <c r="L84" s="132"/>
    </row>
    <row r="85" spans="1:12" ht="15" customHeight="1">
      <c r="A85" s="132"/>
      <c r="L85" s="132"/>
    </row>
    <row r="86" spans="1:12" ht="15" customHeight="1">
      <c r="A86" s="132"/>
      <c r="L86" s="132"/>
    </row>
    <row r="87" spans="1:12" ht="15" customHeight="1">
      <c r="A87" s="132"/>
      <c r="L87" s="132"/>
    </row>
    <row r="88" spans="1:12" ht="15" customHeight="1">
      <c r="A88" s="132"/>
      <c r="L88" s="132"/>
    </row>
    <row r="89" spans="1:12" ht="15" customHeight="1">
      <c r="A89" s="132"/>
      <c r="L89" s="132"/>
    </row>
    <row r="90" spans="1:12" ht="15" customHeight="1">
      <c r="A90" s="132"/>
      <c r="L90" s="132"/>
    </row>
    <row r="91" spans="1:12" ht="15" customHeight="1">
      <c r="A91" s="132"/>
      <c r="L91" s="132"/>
    </row>
    <row r="92" spans="1:12" ht="15" customHeight="1">
      <c r="A92" s="132"/>
      <c r="L92" s="132"/>
    </row>
    <row r="93" spans="1:12" ht="15" customHeight="1">
      <c r="A93" s="132"/>
      <c r="L93" s="132"/>
    </row>
    <row r="94" spans="1:12" ht="15" customHeight="1">
      <c r="A94" s="132"/>
      <c r="L94" s="132"/>
    </row>
    <row r="95" spans="1:12" ht="15" customHeight="1">
      <c r="A95" s="132"/>
      <c r="L95" s="132"/>
    </row>
    <row r="96" spans="1:12" ht="15" customHeight="1">
      <c r="A96" s="132"/>
      <c r="L96" s="132"/>
    </row>
    <row r="97" spans="1:12" ht="15" customHeight="1">
      <c r="A97" s="132"/>
      <c r="L97" s="132"/>
    </row>
    <row r="98" spans="1:12" ht="15" customHeight="1">
      <c r="A98" s="132"/>
      <c r="L98" s="132"/>
    </row>
    <row r="99" spans="1:12" ht="15" customHeight="1">
      <c r="A99" s="132"/>
      <c r="L99" s="132"/>
    </row>
    <row r="100" spans="1:12" ht="15" customHeight="1">
      <c r="A100" s="132"/>
      <c r="L100" s="132"/>
    </row>
    <row r="101" spans="1:12" ht="15" customHeight="1">
      <c r="A101" s="132"/>
      <c r="L101" s="132"/>
    </row>
    <row r="102" spans="1:12" ht="15" customHeight="1">
      <c r="A102" s="132"/>
      <c r="L102" s="132"/>
    </row>
    <row r="103" spans="1:12" ht="15" customHeight="1">
      <c r="A103" s="132"/>
      <c r="L103" s="132"/>
    </row>
    <row r="104" spans="1:12" ht="15" customHeight="1">
      <c r="A104" s="132"/>
      <c r="L104" s="132"/>
    </row>
    <row r="105" spans="1:12" ht="15" customHeight="1">
      <c r="A105" s="132"/>
      <c r="L105" s="132"/>
    </row>
    <row r="106" spans="1:12" ht="15" customHeight="1">
      <c r="A106" s="132"/>
      <c r="L106" s="132"/>
    </row>
    <row r="107" spans="1:12" ht="15" customHeight="1">
      <c r="A107" s="132"/>
      <c r="L107" s="132"/>
    </row>
    <row r="108" spans="1:12" ht="15" customHeight="1">
      <c r="A108" s="132"/>
      <c r="L108" s="132"/>
    </row>
    <row r="109" spans="1:12" ht="15" customHeight="1">
      <c r="A109" s="132"/>
      <c r="L109" s="132"/>
    </row>
    <row r="110" spans="1:12" ht="15" customHeight="1">
      <c r="A110" s="132"/>
      <c r="L110" s="132"/>
    </row>
    <row r="111" spans="1:12" ht="15" customHeight="1">
      <c r="A111" s="132"/>
      <c r="L111" s="132"/>
    </row>
    <row r="112" spans="1:12" ht="15" customHeight="1">
      <c r="A112" s="132"/>
      <c r="L112" s="132"/>
    </row>
    <row r="113" spans="1:12" ht="15" customHeight="1">
      <c r="A113" s="132"/>
      <c r="L113" s="132"/>
    </row>
    <row r="114" spans="1:12" ht="15" customHeight="1">
      <c r="A114" s="132"/>
      <c r="L114" s="132"/>
    </row>
    <row r="115" spans="1:12" ht="15" customHeight="1">
      <c r="A115" s="132"/>
      <c r="L115" s="132"/>
    </row>
    <row r="116" spans="1:12" ht="15" customHeight="1">
      <c r="A116" s="132"/>
      <c r="L116" s="132"/>
    </row>
    <row r="117" spans="1:12">
      <c r="A117" s="132"/>
      <c r="L117" s="132"/>
    </row>
    <row r="118" spans="1:12">
      <c r="A118" s="132"/>
      <c r="L118" s="132"/>
    </row>
    <row r="119" spans="1:12">
      <c r="A119" s="132"/>
      <c r="L119" s="132"/>
    </row>
    <row r="120" spans="1:12">
      <c r="A120" s="132"/>
      <c r="L120" s="132"/>
    </row>
    <row r="121" spans="1:12">
      <c r="A121" s="132"/>
      <c r="L121" s="132"/>
    </row>
    <row r="122" spans="1:12">
      <c r="A122" s="132"/>
      <c r="L122" s="132"/>
    </row>
    <row r="123" spans="1:12">
      <c r="A123" s="132"/>
      <c r="L123" s="132"/>
    </row>
    <row r="124" spans="1:12">
      <c r="A124" s="132"/>
      <c r="L124" s="132"/>
    </row>
    <row r="125" spans="1:12">
      <c r="A125" s="132"/>
      <c r="L125" s="132"/>
    </row>
    <row r="126" spans="1:12">
      <c r="A126" s="132"/>
      <c r="L126" s="132"/>
    </row>
    <row r="127" spans="1:12">
      <c r="A127" s="132"/>
      <c r="L127" s="132"/>
    </row>
    <row r="128" spans="1:12">
      <c r="A128" s="132"/>
      <c r="L128" s="132"/>
    </row>
    <row r="129" spans="1:12">
      <c r="A129" s="132"/>
      <c r="L129" s="132"/>
    </row>
    <row r="130" spans="1:12">
      <c r="A130" s="132"/>
      <c r="L130" s="132"/>
    </row>
    <row r="131" spans="1:12">
      <c r="A131" s="132"/>
      <c r="L131" s="132"/>
    </row>
    <row r="132" spans="1:12">
      <c r="A132" s="132"/>
      <c r="L132" s="132"/>
    </row>
    <row r="133" spans="1:12">
      <c r="A133" s="132"/>
      <c r="L133" s="132"/>
    </row>
    <row r="134" spans="1:12">
      <c r="A134" s="132"/>
      <c r="L134" s="132"/>
    </row>
    <row r="135" spans="1:12">
      <c r="A135" s="132"/>
      <c r="L135" s="132"/>
    </row>
    <row r="136" spans="1:12">
      <c r="A136" s="132"/>
      <c r="L136" s="132"/>
    </row>
    <row r="137" spans="1:12">
      <c r="A137" s="132"/>
      <c r="L137" s="132"/>
    </row>
    <row r="138" spans="1:12">
      <c r="A138" s="132"/>
      <c r="L138" s="132"/>
    </row>
    <row r="139" spans="1:12">
      <c r="A139" s="132"/>
      <c r="L139" s="132"/>
    </row>
    <row r="140" spans="1:12">
      <c r="A140" s="132"/>
      <c r="L140" s="132"/>
    </row>
    <row r="141" spans="1:12">
      <c r="A141" s="132"/>
      <c r="L141" s="132"/>
    </row>
    <row r="142" spans="1:12">
      <c r="A142" s="132"/>
      <c r="L142" s="132"/>
    </row>
    <row r="143" spans="1:12">
      <c r="A143" s="132"/>
      <c r="L143" s="132"/>
    </row>
    <row r="144" spans="1:12">
      <c r="A144" s="132"/>
      <c r="L144" s="132"/>
    </row>
    <row r="145" spans="1:12">
      <c r="A145" s="132"/>
      <c r="L145" s="132"/>
    </row>
    <row r="146" spans="1:12">
      <c r="A146" s="132"/>
      <c r="L146" s="132"/>
    </row>
    <row r="147" spans="1:12">
      <c r="A147" s="132"/>
      <c r="L147" s="132"/>
    </row>
    <row r="148" spans="1:12">
      <c r="A148" s="132"/>
      <c r="L148" s="132"/>
    </row>
    <row r="149" spans="1:12">
      <c r="A149" s="132"/>
      <c r="L149" s="132"/>
    </row>
    <row r="150" spans="1:12">
      <c r="A150" s="132"/>
      <c r="L150" s="132"/>
    </row>
    <row r="151" spans="1:12">
      <c r="A151" s="132"/>
      <c r="L151" s="132"/>
    </row>
    <row r="152" spans="1:12">
      <c r="A152" s="132"/>
      <c r="L152" s="132"/>
    </row>
    <row r="153" spans="1:12">
      <c r="A153" s="132"/>
      <c r="L153" s="132"/>
    </row>
    <row r="154" spans="1:12">
      <c r="A154" s="132"/>
      <c r="L154" s="132"/>
    </row>
    <row r="155" spans="1:12">
      <c r="A155" s="132"/>
      <c r="L155" s="132"/>
    </row>
    <row r="156" spans="1:12">
      <c r="A156" s="132"/>
      <c r="L156" s="132"/>
    </row>
    <row r="157" spans="1:12">
      <c r="A157" s="132"/>
      <c r="L157" s="132"/>
    </row>
    <row r="158" spans="1:12">
      <c r="A158" s="132"/>
      <c r="L158" s="132"/>
    </row>
    <row r="159" spans="1:12">
      <c r="A159" s="132"/>
      <c r="L159" s="132"/>
    </row>
    <row r="160" spans="1:12">
      <c r="A160" s="132"/>
      <c r="L160" s="132"/>
    </row>
    <row r="161" spans="1:12">
      <c r="A161" s="132"/>
      <c r="L161" s="132"/>
    </row>
    <row r="162" spans="1:12">
      <c r="A162" s="132"/>
      <c r="L162" s="132"/>
    </row>
    <row r="163" spans="1:12">
      <c r="A163" s="132"/>
      <c r="L163" s="132"/>
    </row>
    <row r="164" spans="1:12">
      <c r="A164" s="132"/>
      <c r="L164" s="132"/>
    </row>
    <row r="165" spans="1:12">
      <c r="A165" s="132"/>
      <c r="L165" s="132"/>
    </row>
    <row r="166" spans="1:12">
      <c r="A166" s="132"/>
      <c r="L166" s="132"/>
    </row>
    <row r="167" spans="1:12">
      <c r="A167" s="132"/>
      <c r="L167" s="132"/>
    </row>
    <row r="168" spans="1:12">
      <c r="A168" s="132"/>
      <c r="L168" s="132"/>
    </row>
    <row r="169" spans="1:12">
      <c r="A169" s="132"/>
      <c r="L169" s="132"/>
    </row>
    <row r="170" spans="1:12">
      <c r="A170" s="132"/>
      <c r="L170" s="132"/>
    </row>
    <row r="171" spans="1:12">
      <c r="A171" s="132"/>
      <c r="L171" s="132"/>
    </row>
    <row r="172" spans="1:12">
      <c r="A172" s="132"/>
      <c r="L172" s="132"/>
    </row>
    <row r="173" spans="1:12">
      <c r="A173" s="132"/>
      <c r="L173" s="132"/>
    </row>
    <row r="174" spans="1:12">
      <c r="A174" s="132"/>
      <c r="L174" s="132"/>
    </row>
    <row r="175" spans="1:12">
      <c r="A175" s="132"/>
      <c r="L175" s="132"/>
    </row>
    <row r="176" spans="1:12">
      <c r="A176" s="132"/>
      <c r="L176" s="132"/>
    </row>
    <row r="177" spans="1:12">
      <c r="A177" s="132"/>
      <c r="L177" s="132"/>
    </row>
    <row r="178" spans="1:12">
      <c r="A178" s="132"/>
      <c r="L178" s="132"/>
    </row>
    <row r="179" spans="1:12">
      <c r="A179" s="132"/>
      <c r="L179" s="132"/>
    </row>
    <row r="180" spans="1:12">
      <c r="A180" s="132"/>
      <c r="L180" s="132"/>
    </row>
    <row r="181" spans="1:12">
      <c r="A181" s="132"/>
      <c r="L181" s="132"/>
    </row>
    <row r="182" spans="1:12">
      <c r="A182" s="132"/>
      <c r="L182" s="132"/>
    </row>
    <row r="183" spans="1:12">
      <c r="A183" s="132"/>
      <c r="L183" s="132"/>
    </row>
    <row r="184" spans="1:12">
      <c r="A184" s="132"/>
      <c r="L184" s="132"/>
    </row>
    <row r="185" spans="1:12">
      <c r="A185" s="132"/>
      <c r="L185" s="132"/>
    </row>
    <row r="186" spans="1:12">
      <c r="A186" s="132"/>
      <c r="L186" s="132"/>
    </row>
    <row r="187" spans="1:12">
      <c r="A187" s="132"/>
      <c r="L187" s="132"/>
    </row>
    <row r="188" spans="1:12">
      <c r="A188" s="132"/>
      <c r="L188" s="132"/>
    </row>
    <row r="189" spans="1:12">
      <c r="A189" s="132"/>
      <c r="L189" s="132"/>
    </row>
    <row r="190" spans="1:12">
      <c r="A190" s="132"/>
      <c r="L190" s="132"/>
    </row>
    <row r="191" spans="1:12">
      <c r="A191" s="132"/>
      <c r="L191" s="132"/>
    </row>
    <row r="192" spans="1:12">
      <c r="A192" s="132"/>
      <c r="L192" s="132"/>
    </row>
    <row r="193" spans="1:12">
      <c r="A193" s="132"/>
      <c r="L193" s="132"/>
    </row>
    <row r="194" spans="1:12">
      <c r="A194" s="132"/>
      <c r="L194" s="132"/>
    </row>
    <row r="195" spans="1:12">
      <c r="A195" s="132"/>
      <c r="L195" s="132"/>
    </row>
    <row r="196" spans="1:12">
      <c r="A196" s="132"/>
      <c r="L196" s="132"/>
    </row>
    <row r="197" spans="1:12">
      <c r="A197" s="132"/>
      <c r="L197" s="132"/>
    </row>
    <row r="198" spans="1:12">
      <c r="A198" s="132"/>
      <c r="L198" s="132"/>
    </row>
    <row r="199" spans="1:12">
      <c r="A199" s="132"/>
      <c r="L199" s="132"/>
    </row>
    <row r="200" spans="1:12">
      <c r="A200" s="132"/>
      <c r="L200" s="132"/>
    </row>
    <row r="201" spans="1:12">
      <c r="A201" s="132"/>
      <c r="L201" s="132"/>
    </row>
    <row r="202" spans="1:12">
      <c r="A202" s="132"/>
      <c r="L202" s="132"/>
    </row>
    <row r="203" spans="1:12">
      <c r="A203" s="132"/>
      <c r="L203" s="132"/>
    </row>
    <row r="204" spans="1:12">
      <c r="A204" s="132"/>
      <c r="L204" s="132"/>
    </row>
    <row r="205" spans="1:12">
      <c r="A205" s="132"/>
      <c r="L205" s="132"/>
    </row>
    <row r="206" spans="1:12">
      <c r="A206" s="132"/>
      <c r="L206" s="132"/>
    </row>
    <row r="207" spans="1:12">
      <c r="A207" s="132"/>
      <c r="L207" s="132"/>
    </row>
    <row r="208" spans="1:12">
      <c r="A208" s="132"/>
      <c r="L208" s="132"/>
    </row>
    <row r="209" spans="1:12">
      <c r="A209" s="132"/>
      <c r="L209" s="132"/>
    </row>
    <row r="210" spans="1:12">
      <c r="A210" s="132"/>
      <c r="L210" s="132"/>
    </row>
    <row r="211" spans="1:12">
      <c r="A211" s="132"/>
      <c r="L211" s="132"/>
    </row>
    <row r="212" spans="1:12">
      <c r="A212" s="132"/>
      <c r="L212" s="132"/>
    </row>
    <row r="213" spans="1:12">
      <c r="A213" s="132"/>
      <c r="L213" s="132"/>
    </row>
    <row r="214" spans="1:12">
      <c r="A214" s="132"/>
      <c r="L214" s="132"/>
    </row>
    <row r="215" spans="1:12">
      <c r="A215" s="132"/>
      <c r="L215" s="132"/>
    </row>
    <row r="216" spans="1:12">
      <c r="A216" s="132"/>
      <c r="L216" s="132"/>
    </row>
    <row r="217" spans="1:12">
      <c r="A217" s="132"/>
      <c r="L217" s="132"/>
    </row>
    <row r="218" spans="1:12">
      <c r="A218" s="132"/>
      <c r="L218" s="132"/>
    </row>
    <row r="219" spans="1:12">
      <c r="A219" s="132"/>
      <c r="L219" s="132"/>
    </row>
    <row r="220" spans="1:12">
      <c r="A220" s="132"/>
      <c r="L220" s="132"/>
    </row>
    <row r="221" spans="1:12">
      <c r="A221" s="132"/>
      <c r="L221" s="132"/>
    </row>
    <row r="222" spans="1:12">
      <c r="A222" s="132"/>
      <c r="L222" s="132"/>
    </row>
    <row r="223" spans="1:12">
      <c r="A223" s="132"/>
      <c r="L223" s="132"/>
    </row>
    <row r="224" spans="1:12">
      <c r="A224" s="132"/>
      <c r="L224" s="132"/>
    </row>
    <row r="225" spans="1:12">
      <c r="A225" s="132"/>
      <c r="L225" s="132"/>
    </row>
    <row r="226" spans="1:12">
      <c r="A226" s="132"/>
      <c r="L226" s="132"/>
    </row>
    <row r="227" spans="1:12">
      <c r="A227" s="132"/>
      <c r="L227" s="132"/>
    </row>
    <row r="228" spans="1:12">
      <c r="A228" s="132"/>
      <c r="L228" s="132"/>
    </row>
    <row r="229" spans="1:12">
      <c r="A229" s="132"/>
      <c r="L229" s="132"/>
    </row>
    <row r="230" spans="1:12">
      <c r="A230" s="132"/>
      <c r="L230" s="132"/>
    </row>
    <row r="231" spans="1:12">
      <c r="A231" s="132"/>
      <c r="L231" s="132"/>
    </row>
    <row r="232" spans="1:12">
      <c r="A232" s="132"/>
      <c r="L232" s="132"/>
    </row>
    <row r="233" spans="1:12">
      <c r="A233" s="132"/>
      <c r="L233" s="132"/>
    </row>
    <row r="234" spans="1:12">
      <c r="A234" s="132"/>
      <c r="L234" s="132"/>
    </row>
    <row r="235" spans="1:12">
      <c r="A235" s="132"/>
      <c r="L235" s="132"/>
    </row>
    <row r="236" spans="1:12">
      <c r="A236" s="132"/>
      <c r="L236" s="132"/>
    </row>
    <row r="237" spans="1:12">
      <c r="A237" s="132"/>
      <c r="L237" s="132"/>
    </row>
    <row r="238" spans="1:12">
      <c r="A238" s="132"/>
      <c r="L238" s="132"/>
    </row>
    <row r="239" spans="1:12">
      <c r="A239" s="132"/>
      <c r="L239" s="132"/>
    </row>
    <row r="240" spans="1:12">
      <c r="A240" s="132"/>
      <c r="L240" s="132"/>
    </row>
    <row r="241" spans="1:12">
      <c r="A241" s="132"/>
      <c r="L241" s="132"/>
    </row>
    <row r="242" spans="1:12">
      <c r="A242" s="132"/>
      <c r="L242" s="132"/>
    </row>
    <row r="243" spans="1:12">
      <c r="A243" s="132"/>
      <c r="L243" s="132"/>
    </row>
    <row r="244" spans="1:12">
      <c r="A244" s="132"/>
      <c r="L244" s="132"/>
    </row>
    <row r="245" spans="1:12">
      <c r="A245" s="132"/>
      <c r="L245" s="132"/>
    </row>
    <row r="246" spans="1:12">
      <c r="A246" s="132"/>
      <c r="L246" s="132"/>
    </row>
    <row r="247" spans="1:12">
      <c r="A247" s="132"/>
      <c r="L247" s="132"/>
    </row>
    <row r="248" spans="1:12">
      <c r="A248" s="132"/>
      <c r="L248" s="132"/>
    </row>
    <row r="249" spans="1:12">
      <c r="A249" s="132"/>
      <c r="L249" s="132"/>
    </row>
    <row r="250" spans="1:12">
      <c r="A250" s="132"/>
      <c r="L250" s="132"/>
    </row>
    <row r="251" spans="1:12">
      <c r="A251" s="132"/>
      <c r="L251" s="132"/>
    </row>
    <row r="252" spans="1:12">
      <c r="A252" s="132"/>
      <c r="L252" s="132"/>
    </row>
    <row r="253" spans="1:12">
      <c r="A253" s="132"/>
      <c r="L253" s="132"/>
    </row>
    <row r="254" spans="1:12">
      <c r="A254" s="132"/>
      <c r="L254" s="132"/>
    </row>
    <row r="255" spans="1:12">
      <c r="A255" s="132"/>
      <c r="L255" s="132"/>
    </row>
    <row r="256" spans="1:12">
      <c r="A256" s="132"/>
      <c r="L256" s="132"/>
    </row>
    <row r="257" spans="1:12">
      <c r="A257" s="132"/>
      <c r="L257" s="132"/>
    </row>
    <row r="258" spans="1:12">
      <c r="A258" s="132"/>
      <c r="L258" s="132"/>
    </row>
    <row r="259" spans="1:12">
      <c r="A259" s="132"/>
      <c r="L259" s="132"/>
    </row>
    <row r="260" spans="1:12">
      <c r="A260" s="132"/>
      <c r="L260" s="132"/>
    </row>
    <row r="261" spans="1:12">
      <c r="A261" s="132"/>
      <c r="L261" s="132"/>
    </row>
    <row r="262" spans="1:12">
      <c r="A262" s="132"/>
      <c r="L262" s="132"/>
    </row>
    <row r="263" spans="1:12">
      <c r="A263" s="132"/>
      <c r="L263" s="132"/>
    </row>
    <row r="264" spans="1:12">
      <c r="A264" s="132"/>
      <c r="L264" s="132"/>
    </row>
    <row r="265" spans="1:12">
      <c r="A265" s="132"/>
      <c r="L265" s="132"/>
    </row>
    <row r="266" spans="1:12">
      <c r="A266" s="132"/>
      <c r="L266" s="132"/>
    </row>
    <row r="267" spans="1:12">
      <c r="A267" s="132"/>
      <c r="L267" s="132"/>
    </row>
    <row r="268" spans="1:12">
      <c r="A268" s="132"/>
      <c r="L268" s="132"/>
    </row>
    <row r="269" spans="1:12">
      <c r="A269" s="132"/>
      <c r="L269" s="132"/>
    </row>
    <row r="270" spans="1:12">
      <c r="A270" s="132"/>
      <c r="L270" s="132"/>
    </row>
    <row r="271" spans="1:12">
      <c r="A271" s="132"/>
      <c r="L271" s="132"/>
    </row>
    <row r="272" spans="1:12">
      <c r="A272" s="132"/>
      <c r="L272" s="132"/>
    </row>
    <row r="273" spans="1:12">
      <c r="A273" s="132"/>
      <c r="L273" s="132"/>
    </row>
    <row r="274" spans="1:12">
      <c r="A274" s="132"/>
      <c r="L274" s="132"/>
    </row>
    <row r="275" spans="1:12">
      <c r="A275" s="132"/>
      <c r="L275" s="132"/>
    </row>
    <row r="276" spans="1:12">
      <c r="A276" s="132"/>
      <c r="L276" s="132"/>
    </row>
    <row r="277" spans="1:12">
      <c r="A277" s="132"/>
      <c r="L277" s="132"/>
    </row>
    <row r="278" spans="1:12">
      <c r="A278" s="132"/>
      <c r="L278" s="132"/>
    </row>
    <row r="279" spans="1:12">
      <c r="A279" s="132"/>
      <c r="L279" s="132"/>
    </row>
    <row r="280" spans="1:12">
      <c r="A280" s="132"/>
      <c r="L280" s="132"/>
    </row>
    <row r="281" spans="1:12">
      <c r="A281" s="132"/>
      <c r="L281" s="132"/>
    </row>
    <row r="282" spans="1:12">
      <c r="A282" s="132"/>
      <c r="L282" s="132"/>
    </row>
    <row r="283" spans="1:12">
      <c r="A283" s="132"/>
      <c r="L283" s="132"/>
    </row>
    <row r="284" spans="1:12">
      <c r="A284" s="132"/>
      <c r="L284" s="132"/>
    </row>
    <row r="285" spans="1:12">
      <c r="A285" s="132"/>
      <c r="L285" s="132"/>
    </row>
    <row r="286" spans="1:12">
      <c r="A286" s="132"/>
      <c r="L286" s="132"/>
    </row>
    <row r="287" spans="1:12">
      <c r="A287" s="132"/>
      <c r="L287" s="132"/>
    </row>
    <row r="288" spans="1:12">
      <c r="A288" s="132"/>
      <c r="L288" s="132"/>
    </row>
    <row r="289" spans="1:12">
      <c r="A289" s="132"/>
      <c r="L289" s="132"/>
    </row>
    <row r="290" spans="1:12">
      <c r="A290" s="132"/>
      <c r="L290" s="132"/>
    </row>
    <row r="291" spans="1:12">
      <c r="A291" s="132"/>
      <c r="L291" s="132"/>
    </row>
    <row r="292" spans="1:12">
      <c r="A292" s="132"/>
      <c r="L292" s="132"/>
    </row>
    <row r="293" spans="1:12">
      <c r="A293" s="132"/>
      <c r="L293" s="132"/>
    </row>
    <row r="294" spans="1:12">
      <c r="A294" s="132"/>
      <c r="L294" s="132"/>
    </row>
    <row r="295" spans="1:12">
      <c r="A295" s="132"/>
      <c r="L295" s="132"/>
    </row>
    <row r="296" spans="1:12">
      <c r="A296" s="132"/>
      <c r="L296" s="132"/>
    </row>
    <row r="297" spans="1:12">
      <c r="A297" s="132"/>
      <c r="L297" s="132"/>
    </row>
    <row r="298" spans="1:12">
      <c r="A298" s="132"/>
      <c r="L298" s="132"/>
    </row>
    <row r="299" spans="1:12">
      <c r="A299" s="132"/>
      <c r="L299" s="132"/>
    </row>
    <row r="300" spans="1:12">
      <c r="A300" s="132"/>
      <c r="L300" s="132"/>
    </row>
    <row r="301" spans="1:12">
      <c r="A301" s="132"/>
      <c r="L301" s="132"/>
    </row>
    <row r="302" spans="1:12">
      <c r="A302" s="132"/>
      <c r="L302" s="132"/>
    </row>
    <row r="303" spans="1:12">
      <c r="A303" s="132"/>
      <c r="L303" s="132"/>
    </row>
    <row r="304" spans="1:12">
      <c r="A304" s="132"/>
      <c r="L304" s="132"/>
    </row>
    <row r="305" spans="1:12">
      <c r="A305" s="132"/>
      <c r="L305" s="132"/>
    </row>
    <row r="306" spans="1:12">
      <c r="A306" s="132"/>
      <c r="L306" s="132"/>
    </row>
    <row r="307" spans="1:12">
      <c r="A307" s="132"/>
      <c r="L307" s="132"/>
    </row>
    <row r="308" spans="1:12">
      <c r="A308" s="132"/>
      <c r="L308" s="132"/>
    </row>
    <row r="309" spans="1:12">
      <c r="A309" s="132"/>
      <c r="L309" s="132"/>
    </row>
    <row r="310" spans="1:12">
      <c r="A310" s="132"/>
      <c r="L310" s="132"/>
    </row>
    <row r="311" spans="1:12">
      <c r="A311" s="132"/>
      <c r="L311" s="132"/>
    </row>
    <row r="312" spans="1:12">
      <c r="A312" s="132"/>
      <c r="L312" s="132"/>
    </row>
    <row r="313" spans="1:12">
      <c r="A313" s="132"/>
      <c r="L313" s="132"/>
    </row>
    <row r="314" spans="1:12">
      <c r="A314" s="132"/>
      <c r="L314" s="132"/>
    </row>
    <row r="315" spans="1:12">
      <c r="A315" s="132"/>
      <c r="L315" s="132"/>
    </row>
    <row r="316" spans="1:12">
      <c r="A316" s="132"/>
      <c r="L316" s="132"/>
    </row>
    <row r="317" spans="1:12">
      <c r="A317" s="132"/>
      <c r="L317" s="132"/>
    </row>
    <row r="318" spans="1:12">
      <c r="A318" s="132"/>
      <c r="L318" s="132"/>
    </row>
    <row r="319" spans="1:12">
      <c r="A319" s="132"/>
      <c r="L319" s="132"/>
    </row>
    <row r="320" spans="1:12">
      <c r="A320" s="132"/>
      <c r="L320" s="132"/>
    </row>
    <row r="321" spans="1:12">
      <c r="A321" s="132"/>
      <c r="L321" s="132"/>
    </row>
    <row r="322" spans="1:12">
      <c r="A322" s="132"/>
      <c r="L322" s="132"/>
    </row>
    <row r="323" spans="1:12">
      <c r="A323" s="132"/>
      <c r="L323" s="132"/>
    </row>
    <row r="324" spans="1:12">
      <c r="A324" s="132"/>
      <c r="L324" s="132"/>
    </row>
    <row r="325" spans="1:12">
      <c r="A325" s="132"/>
      <c r="L325" s="132"/>
    </row>
    <row r="326" spans="1:12">
      <c r="A326" s="132"/>
      <c r="L326" s="132"/>
    </row>
    <row r="327" spans="1:12">
      <c r="A327" s="132"/>
      <c r="L327" s="132"/>
    </row>
    <row r="328" spans="1:12">
      <c r="A328" s="132"/>
      <c r="L328" s="132"/>
    </row>
    <row r="329" spans="1:12">
      <c r="A329" s="132"/>
      <c r="L329" s="132"/>
    </row>
    <row r="330" spans="1:12">
      <c r="A330" s="132"/>
      <c r="L330" s="132"/>
    </row>
    <row r="331" spans="1:12">
      <c r="A331" s="132"/>
      <c r="L331" s="132"/>
    </row>
    <row r="332" spans="1:12">
      <c r="A332" s="132"/>
      <c r="L332" s="132"/>
    </row>
    <row r="333" spans="1:12">
      <c r="A333" s="132"/>
      <c r="L333" s="132"/>
    </row>
    <row r="334" spans="1:12">
      <c r="A334" s="132"/>
      <c r="L334" s="132"/>
    </row>
    <row r="335" spans="1:12">
      <c r="A335" s="132"/>
      <c r="L335" s="132"/>
    </row>
    <row r="336" spans="1:12">
      <c r="A336" s="132"/>
      <c r="L336" s="132"/>
    </row>
    <row r="337" spans="1:12">
      <c r="A337" s="132"/>
      <c r="L337" s="132"/>
    </row>
    <row r="338" spans="1:12">
      <c r="A338" s="132"/>
      <c r="L338" s="132"/>
    </row>
    <row r="339" spans="1:12">
      <c r="A339" s="132"/>
      <c r="L339" s="132"/>
    </row>
    <row r="340" spans="1:12">
      <c r="A340" s="132"/>
      <c r="L340" s="132"/>
    </row>
    <row r="341" spans="1:12">
      <c r="A341" s="132"/>
      <c r="L341" s="132"/>
    </row>
    <row r="342" spans="1:12">
      <c r="A342" s="132"/>
      <c r="L342" s="132"/>
    </row>
    <row r="343" spans="1:12">
      <c r="A343" s="132"/>
      <c r="L343" s="132"/>
    </row>
    <row r="344" spans="1:12">
      <c r="A344" s="132"/>
      <c r="L344" s="132"/>
    </row>
    <row r="345" spans="1:12">
      <c r="A345" s="132"/>
      <c r="L345" s="132"/>
    </row>
    <row r="346" spans="1:12">
      <c r="A346" s="132"/>
      <c r="L346" s="132"/>
    </row>
    <row r="347" spans="1:12">
      <c r="A347" s="132"/>
      <c r="L347" s="132"/>
    </row>
    <row r="348" spans="1:12">
      <c r="A348" s="132"/>
      <c r="L348" s="132"/>
    </row>
    <row r="349" spans="1:12">
      <c r="A349" s="132"/>
      <c r="L349" s="132"/>
    </row>
    <row r="350" spans="1:12">
      <c r="A350" s="132"/>
      <c r="L350" s="132"/>
    </row>
    <row r="351" spans="1:12">
      <c r="A351" s="132"/>
      <c r="L351" s="132"/>
    </row>
    <row r="352" spans="1:12">
      <c r="A352" s="132"/>
      <c r="L352" s="132"/>
    </row>
    <row r="353" spans="1:12">
      <c r="A353" s="132"/>
      <c r="L353" s="132"/>
    </row>
    <row r="354" spans="1:12">
      <c r="A354" s="132"/>
      <c r="L354" s="132"/>
    </row>
    <row r="355" spans="1:12">
      <c r="A355" s="132"/>
      <c r="L355" s="132"/>
    </row>
    <row r="356" spans="1:12">
      <c r="A356" s="132"/>
      <c r="L356" s="132"/>
    </row>
    <row r="357" spans="1:12">
      <c r="A357" s="132"/>
      <c r="L357" s="132"/>
    </row>
    <row r="358" spans="1:12">
      <c r="A358" s="132"/>
      <c r="L358" s="132"/>
    </row>
    <row r="359" spans="1:12">
      <c r="A359" s="132"/>
      <c r="L359" s="132"/>
    </row>
    <row r="360" spans="1:12">
      <c r="A360" s="132"/>
      <c r="L360" s="132"/>
    </row>
    <row r="361" spans="1:12">
      <c r="A361" s="132"/>
      <c r="L361" s="132"/>
    </row>
    <row r="362" spans="1:12">
      <c r="A362" s="132"/>
      <c r="L362" s="132"/>
    </row>
    <row r="363" spans="1:12">
      <c r="A363" s="132"/>
      <c r="L363" s="132"/>
    </row>
    <row r="364" spans="1:12">
      <c r="A364" s="132"/>
      <c r="L364" s="132"/>
    </row>
    <row r="365" spans="1:12">
      <c r="A365" s="132"/>
      <c r="L365" s="132"/>
    </row>
    <row r="366" spans="1:12">
      <c r="A366" s="132"/>
      <c r="L366" s="132"/>
    </row>
    <row r="367" spans="1:12">
      <c r="A367" s="132"/>
      <c r="L367" s="132"/>
    </row>
    <row r="368" spans="1:12">
      <c r="A368" s="132"/>
      <c r="L368" s="132"/>
    </row>
    <row r="369" spans="1:12">
      <c r="A369" s="132"/>
      <c r="L369" s="132"/>
    </row>
    <row r="370" spans="1:12">
      <c r="A370" s="132"/>
      <c r="L370" s="132"/>
    </row>
    <row r="371" spans="1:12">
      <c r="A371" s="132"/>
      <c r="L371" s="132"/>
    </row>
    <row r="372" spans="1:12">
      <c r="A372" s="132"/>
      <c r="L372" s="132"/>
    </row>
    <row r="373" spans="1:12">
      <c r="A373" s="132"/>
      <c r="L373" s="132"/>
    </row>
    <row r="374" spans="1:12">
      <c r="A374" s="132"/>
      <c r="L374" s="132"/>
    </row>
    <row r="375" spans="1:12">
      <c r="A375" s="132"/>
      <c r="L375" s="132"/>
    </row>
    <row r="376" spans="1:12">
      <c r="A376" s="132"/>
      <c r="L376" s="132"/>
    </row>
  </sheetData>
  <mergeCells count="1">
    <mergeCell ref="Y6:AA26"/>
  </mergeCells>
  <conditionalFormatting sqref="S1:S1048576">
    <cfRule type="containsText" dxfId="155" priority="1" operator="containsText" text="переоценка">
      <formula>NOT(ISERROR(SEARCH("переоценка",S1)))</formula>
    </cfRule>
    <cfRule type="containsText" dxfId="154" priority="2" operator="containsText" text="с покупкой">
      <formula>NOT(ISERROR(SEARCH("с покупкой",S1)))</formula>
    </cfRule>
    <cfRule type="containsText" dxfId="153" priority="3" operator="containsText" text="закрытие дебетового сальдо">
      <formula>NOT(ISERROR(SEARCH("закрытие дебетового сальдо",S1)))</formula>
    </cfRule>
    <cfRule type="containsText" dxfId="152" priority="4" operator="containsText" text="рублевый эквивалент">
      <formula>NOT(ISERROR(SEARCH("рублевый эквивалент",S1)))</formula>
    </cfRule>
    <cfRule type="containsText" dxfId="151" priority="5" operator="containsText" text="кредит">
      <formula>NOT(ISERROR(SEARCH("кредит",S1)))</formula>
    </cfRule>
    <cfRule type="containsText" dxfId="150" priority="6" operator="containsText" text="на покупку">
      <formula>NOT(ISERROR(SEARCH("на покупку",S1)))</formula>
    </cfRule>
    <cfRule type="containsText" dxfId="149" priority="7" operator="containsText" text="возврат">
      <formula>NOT(ISERROR(SEARCH("возврат",S1)))</formula>
    </cfRule>
    <cfRule type="containsText" dxfId="148" priority="8" operator="containsText" text="депозит">
      <formula>NOT(ISERROR(SEARCH("депозит",S1)))</formula>
    </cfRule>
    <cfRule type="containsText" dxfId="147" priority="9" operator="containsText" text="займ">
      <formula>NOT(ISERROR(SEARCH("займ",S1)))</formula>
    </cfRule>
    <cfRule type="containsText" dxfId="146" priority="10" operator="containsText" text="признание овердрафта">
      <formula>NOT(ISERROR(SEARCH("признание овердрафта",S1)))</formula>
    </cfRule>
    <cfRule type="containsText" dxfId="145" priority="11" operator="containsText" text="в рамках одного">
      <formula>NOT(ISERROR(SEARCH("в рамках одного",S1)))</formula>
    </cfRule>
  </conditionalFormatting>
  <dataValidations count="1">
    <dataValidation type="list" allowBlank="1" showInputMessage="1" showErrorMessage="1" sqref="S1">
      <formula1>"Назначение"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G32"/>
  <sheetViews>
    <sheetView showGridLines="0" tabSelected="1" view="pageBreakPreview" topLeftCell="A2" zoomScaleNormal="90" zoomScaleSheetLayoutView="100" workbookViewId="0">
      <selection activeCell="A23" sqref="A23:D23"/>
    </sheetView>
  </sheetViews>
  <sheetFormatPr defaultRowHeight="15"/>
  <cols>
    <col min="1" max="1" width="5" style="1" customWidth="1"/>
    <col min="2" max="2" width="97.5703125" style="1" customWidth="1"/>
    <col min="3" max="3" width="27" style="1" customWidth="1"/>
    <col min="4" max="4" width="16.42578125" style="1" customWidth="1"/>
    <col min="5" max="5" width="40.140625" style="1" customWidth="1"/>
    <col min="6" max="255" width="9.140625" style="1"/>
    <col min="256" max="256" width="5" style="1" customWidth="1"/>
    <col min="257" max="257" width="97.5703125" style="1" customWidth="1"/>
    <col min="258" max="258" width="24.140625" style="1" customWidth="1"/>
    <col min="259" max="259" width="17.28515625" style="1" customWidth="1"/>
    <col min="260" max="260" width="16.42578125" style="1" customWidth="1"/>
    <col min="261" max="261" width="40.140625" style="1" customWidth="1"/>
    <col min="262" max="511" width="9.140625" style="1"/>
    <col min="512" max="512" width="5" style="1" customWidth="1"/>
    <col min="513" max="513" width="97.5703125" style="1" customWidth="1"/>
    <col min="514" max="514" width="24.140625" style="1" customWidth="1"/>
    <col min="515" max="515" width="17.28515625" style="1" customWidth="1"/>
    <col min="516" max="516" width="16.42578125" style="1" customWidth="1"/>
    <col min="517" max="517" width="40.140625" style="1" customWidth="1"/>
    <col min="518" max="767" width="9.140625" style="1"/>
    <col min="768" max="768" width="5" style="1" customWidth="1"/>
    <col min="769" max="769" width="97.5703125" style="1" customWidth="1"/>
    <col min="770" max="770" width="24.140625" style="1" customWidth="1"/>
    <col min="771" max="771" width="17.28515625" style="1" customWidth="1"/>
    <col min="772" max="772" width="16.42578125" style="1" customWidth="1"/>
    <col min="773" max="773" width="40.140625" style="1" customWidth="1"/>
    <col min="774" max="1023" width="9.140625" style="1"/>
    <col min="1024" max="1024" width="5" style="1" customWidth="1"/>
    <col min="1025" max="1025" width="97.5703125" style="1" customWidth="1"/>
    <col min="1026" max="1026" width="24.140625" style="1" customWidth="1"/>
    <col min="1027" max="1027" width="17.28515625" style="1" customWidth="1"/>
    <col min="1028" max="1028" width="16.42578125" style="1" customWidth="1"/>
    <col min="1029" max="1029" width="40.140625" style="1" customWidth="1"/>
    <col min="1030" max="1279" width="9.140625" style="1"/>
    <col min="1280" max="1280" width="5" style="1" customWidth="1"/>
    <col min="1281" max="1281" width="97.5703125" style="1" customWidth="1"/>
    <col min="1282" max="1282" width="24.140625" style="1" customWidth="1"/>
    <col min="1283" max="1283" width="17.28515625" style="1" customWidth="1"/>
    <col min="1284" max="1284" width="16.42578125" style="1" customWidth="1"/>
    <col min="1285" max="1285" width="40.140625" style="1" customWidth="1"/>
    <col min="1286" max="1535" width="9.140625" style="1"/>
    <col min="1536" max="1536" width="5" style="1" customWidth="1"/>
    <col min="1537" max="1537" width="97.5703125" style="1" customWidth="1"/>
    <col min="1538" max="1538" width="24.140625" style="1" customWidth="1"/>
    <col min="1539" max="1539" width="17.28515625" style="1" customWidth="1"/>
    <col min="1540" max="1540" width="16.42578125" style="1" customWidth="1"/>
    <col min="1541" max="1541" width="40.140625" style="1" customWidth="1"/>
    <col min="1542" max="1791" width="9.140625" style="1"/>
    <col min="1792" max="1792" width="5" style="1" customWidth="1"/>
    <col min="1793" max="1793" width="97.5703125" style="1" customWidth="1"/>
    <col min="1794" max="1794" width="24.140625" style="1" customWidth="1"/>
    <col min="1795" max="1795" width="17.28515625" style="1" customWidth="1"/>
    <col min="1796" max="1796" width="16.42578125" style="1" customWidth="1"/>
    <col min="1797" max="1797" width="40.140625" style="1" customWidth="1"/>
    <col min="1798" max="2047" width="9.140625" style="1"/>
    <col min="2048" max="2048" width="5" style="1" customWidth="1"/>
    <col min="2049" max="2049" width="97.5703125" style="1" customWidth="1"/>
    <col min="2050" max="2050" width="24.140625" style="1" customWidth="1"/>
    <col min="2051" max="2051" width="17.28515625" style="1" customWidth="1"/>
    <col min="2052" max="2052" width="16.42578125" style="1" customWidth="1"/>
    <col min="2053" max="2053" width="40.140625" style="1" customWidth="1"/>
    <col min="2054" max="2303" width="9.140625" style="1"/>
    <col min="2304" max="2304" width="5" style="1" customWidth="1"/>
    <col min="2305" max="2305" width="97.5703125" style="1" customWidth="1"/>
    <col min="2306" max="2306" width="24.140625" style="1" customWidth="1"/>
    <col min="2307" max="2307" width="17.28515625" style="1" customWidth="1"/>
    <col min="2308" max="2308" width="16.42578125" style="1" customWidth="1"/>
    <col min="2309" max="2309" width="40.140625" style="1" customWidth="1"/>
    <col min="2310" max="2559" width="9.140625" style="1"/>
    <col min="2560" max="2560" width="5" style="1" customWidth="1"/>
    <col min="2561" max="2561" width="97.5703125" style="1" customWidth="1"/>
    <col min="2562" max="2562" width="24.140625" style="1" customWidth="1"/>
    <col min="2563" max="2563" width="17.28515625" style="1" customWidth="1"/>
    <col min="2564" max="2564" width="16.42578125" style="1" customWidth="1"/>
    <col min="2565" max="2565" width="40.140625" style="1" customWidth="1"/>
    <col min="2566" max="2815" width="9.140625" style="1"/>
    <col min="2816" max="2816" width="5" style="1" customWidth="1"/>
    <col min="2817" max="2817" width="97.5703125" style="1" customWidth="1"/>
    <col min="2818" max="2818" width="24.140625" style="1" customWidth="1"/>
    <col min="2819" max="2819" width="17.28515625" style="1" customWidth="1"/>
    <col min="2820" max="2820" width="16.42578125" style="1" customWidth="1"/>
    <col min="2821" max="2821" width="40.140625" style="1" customWidth="1"/>
    <col min="2822" max="3071" width="9.140625" style="1"/>
    <col min="3072" max="3072" width="5" style="1" customWidth="1"/>
    <col min="3073" max="3073" width="97.5703125" style="1" customWidth="1"/>
    <col min="3074" max="3074" width="24.140625" style="1" customWidth="1"/>
    <col min="3075" max="3075" width="17.28515625" style="1" customWidth="1"/>
    <col min="3076" max="3076" width="16.42578125" style="1" customWidth="1"/>
    <col min="3077" max="3077" width="40.140625" style="1" customWidth="1"/>
    <col min="3078" max="3327" width="9.140625" style="1"/>
    <col min="3328" max="3328" width="5" style="1" customWidth="1"/>
    <col min="3329" max="3329" width="97.5703125" style="1" customWidth="1"/>
    <col min="3330" max="3330" width="24.140625" style="1" customWidth="1"/>
    <col min="3331" max="3331" width="17.28515625" style="1" customWidth="1"/>
    <col min="3332" max="3332" width="16.42578125" style="1" customWidth="1"/>
    <col min="3333" max="3333" width="40.140625" style="1" customWidth="1"/>
    <col min="3334" max="3583" width="9.140625" style="1"/>
    <col min="3584" max="3584" width="5" style="1" customWidth="1"/>
    <col min="3585" max="3585" width="97.5703125" style="1" customWidth="1"/>
    <col min="3586" max="3586" width="24.140625" style="1" customWidth="1"/>
    <col min="3587" max="3587" width="17.28515625" style="1" customWidth="1"/>
    <col min="3588" max="3588" width="16.42578125" style="1" customWidth="1"/>
    <col min="3589" max="3589" width="40.140625" style="1" customWidth="1"/>
    <col min="3590" max="3839" width="9.140625" style="1"/>
    <col min="3840" max="3840" width="5" style="1" customWidth="1"/>
    <col min="3841" max="3841" width="97.5703125" style="1" customWidth="1"/>
    <col min="3842" max="3842" width="24.140625" style="1" customWidth="1"/>
    <col min="3843" max="3843" width="17.28515625" style="1" customWidth="1"/>
    <col min="3844" max="3844" width="16.42578125" style="1" customWidth="1"/>
    <col min="3845" max="3845" width="40.140625" style="1" customWidth="1"/>
    <col min="3846" max="4095" width="9.140625" style="1"/>
    <col min="4096" max="4096" width="5" style="1" customWidth="1"/>
    <col min="4097" max="4097" width="97.5703125" style="1" customWidth="1"/>
    <col min="4098" max="4098" width="24.140625" style="1" customWidth="1"/>
    <col min="4099" max="4099" width="17.28515625" style="1" customWidth="1"/>
    <col min="4100" max="4100" width="16.42578125" style="1" customWidth="1"/>
    <col min="4101" max="4101" width="40.140625" style="1" customWidth="1"/>
    <col min="4102" max="4351" width="9.140625" style="1"/>
    <col min="4352" max="4352" width="5" style="1" customWidth="1"/>
    <col min="4353" max="4353" width="97.5703125" style="1" customWidth="1"/>
    <col min="4354" max="4354" width="24.140625" style="1" customWidth="1"/>
    <col min="4355" max="4355" width="17.28515625" style="1" customWidth="1"/>
    <col min="4356" max="4356" width="16.42578125" style="1" customWidth="1"/>
    <col min="4357" max="4357" width="40.140625" style="1" customWidth="1"/>
    <col min="4358" max="4607" width="9.140625" style="1"/>
    <col min="4608" max="4608" width="5" style="1" customWidth="1"/>
    <col min="4609" max="4609" width="97.5703125" style="1" customWidth="1"/>
    <col min="4610" max="4610" width="24.140625" style="1" customWidth="1"/>
    <col min="4611" max="4611" width="17.28515625" style="1" customWidth="1"/>
    <col min="4612" max="4612" width="16.42578125" style="1" customWidth="1"/>
    <col min="4613" max="4613" width="40.140625" style="1" customWidth="1"/>
    <col min="4614" max="4863" width="9.140625" style="1"/>
    <col min="4864" max="4864" width="5" style="1" customWidth="1"/>
    <col min="4865" max="4865" width="97.5703125" style="1" customWidth="1"/>
    <col min="4866" max="4866" width="24.140625" style="1" customWidth="1"/>
    <col min="4867" max="4867" width="17.28515625" style="1" customWidth="1"/>
    <col min="4868" max="4868" width="16.42578125" style="1" customWidth="1"/>
    <col min="4869" max="4869" width="40.140625" style="1" customWidth="1"/>
    <col min="4870" max="5119" width="9.140625" style="1"/>
    <col min="5120" max="5120" width="5" style="1" customWidth="1"/>
    <col min="5121" max="5121" width="97.5703125" style="1" customWidth="1"/>
    <col min="5122" max="5122" width="24.140625" style="1" customWidth="1"/>
    <col min="5123" max="5123" width="17.28515625" style="1" customWidth="1"/>
    <col min="5124" max="5124" width="16.42578125" style="1" customWidth="1"/>
    <col min="5125" max="5125" width="40.140625" style="1" customWidth="1"/>
    <col min="5126" max="5375" width="9.140625" style="1"/>
    <col min="5376" max="5376" width="5" style="1" customWidth="1"/>
    <col min="5377" max="5377" width="97.5703125" style="1" customWidth="1"/>
    <col min="5378" max="5378" width="24.140625" style="1" customWidth="1"/>
    <col min="5379" max="5379" width="17.28515625" style="1" customWidth="1"/>
    <col min="5380" max="5380" width="16.42578125" style="1" customWidth="1"/>
    <col min="5381" max="5381" width="40.140625" style="1" customWidth="1"/>
    <col min="5382" max="5631" width="9.140625" style="1"/>
    <col min="5632" max="5632" width="5" style="1" customWidth="1"/>
    <col min="5633" max="5633" width="97.5703125" style="1" customWidth="1"/>
    <col min="5634" max="5634" width="24.140625" style="1" customWidth="1"/>
    <col min="5635" max="5635" width="17.28515625" style="1" customWidth="1"/>
    <col min="5636" max="5636" width="16.42578125" style="1" customWidth="1"/>
    <col min="5637" max="5637" width="40.140625" style="1" customWidth="1"/>
    <col min="5638" max="5887" width="9.140625" style="1"/>
    <col min="5888" max="5888" width="5" style="1" customWidth="1"/>
    <col min="5889" max="5889" width="97.5703125" style="1" customWidth="1"/>
    <col min="5890" max="5890" width="24.140625" style="1" customWidth="1"/>
    <col min="5891" max="5891" width="17.28515625" style="1" customWidth="1"/>
    <col min="5892" max="5892" width="16.42578125" style="1" customWidth="1"/>
    <col min="5893" max="5893" width="40.140625" style="1" customWidth="1"/>
    <col min="5894" max="6143" width="9.140625" style="1"/>
    <col min="6144" max="6144" width="5" style="1" customWidth="1"/>
    <col min="6145" max="6145" width="97.5703125" style="1" customWidth="1"/>
    <col min="6146" max="6146" width="24.140625" style="1" customWidth="1"/>
    <col min="6147" max="6147" width="17.28515625" style="1" customWidth="1"/>
    <col min="6148" max="6148" width="16.42578125" style="1" customWidth="1"/>
    <col min="6149" max="6149" width="40.140625" style="1" customWidth="1"/>
    <col min="6150" max="6399" width="9.140625" style="1"/>
    <col min="6400" max="6400" width="5" style="1" customWidth="1"/>
    <col min="6401" max="6401" width="97.5703125" style="1" customWidth="1"/>
    <col min="6402" max="6402" width="24.140625" style="1" customWidth="1"/>
    <col min="6403" max="6403" width="17.28515625" style="1" customWidth="1"/>
    <col min="6404" max="6404" width="16.42578125" style="1" customWidth="1"/>
    <col min="6405" max="6405" width="40.140625" style="1" customWidth="1"/>
    <col min="6406" max="6655" width="9.140625" style="1"/>
    <col min="6656" max="6656" width="5" style="1" customWidth="1"/>
    <col min="6657" max="6657" width="97.5703125" style="1" customWidth="1"/>
    <col min="6658" max="6658" width="24.140625" style="1" customWidth="1"/>
    <col min="6659" max="6659" width="17.28515625" style="1" customWidth="1"/>
    <col min="6660" max="6660" width="16.42578125" style="1" customWidth="1"/>
    <col min="6661" max="6661" width="40.140625" style="1" customWidth="1"/>
    <col min="6662" max="6911" width="9.140625" style="1"/>
    <col min="6912" max="6912" width="5" style="1" customWidth="1"/>
    <col min="6913" max="6913" width="97.5703125" style="1" customWidth="1"/>
    <col min="6914" max="6914" width="24.140625" style="1" customWidth="1"/>
    <col min="6915" max="6915" width="17.28515625" style="1" customWidth="1"/>
    <col min="6916" max="6916" width="16.42578125" style="1" customWidth="1"/>
    <col min="6917" max="6917" width="40.140625" style="1" customWidth="1"/>
    <col min="6918" max="7167" width="9.140625" style="1"/>
    <col min="7168" max="7168" width="5" style="1" customWidth="1"/>
    <col min="7169" max="7169" width="97.5703125" style="1" customWidth="1"/>
    <col min="7170" max="7170" width="24.140625" style="1" customWidth="1"/>
    <col min="7171" max="7171" width="17.28515625" style="1" customWidth="1"/>
    <col min="7172" max="7172" width="16.42578125" style="1" customWidth="1"/>
    <col min="7173" max="7173" width="40.140625" style="1" customWidth="1"/>
    <col min="7174" max="7423" width="9.140625" style="1"/>
    <col min="7424" max="7424" width="5" style="1" customWidth="1"/>
    <col min="7425" max="7425" width="97.5703125" style="1" customWidth="1"/>
    <col min="7426" max="7426" width="24.140625" style="1" customWidth="1"/>
    <col min="7427" max="7427" width="17.28515625" style="1" customWidth="1"/>
    <col min="7428" max="7428" width="16.42578125" style="1" customWidth="1"/>
    <col min="7429" max="7429" width="40.140625" style="1" customWidth="1"/>
    <col min="7430" max="7679" width="9.140625" style="1"/>
    <col min="7680" max="7680" width="5" style="1" customWidth="1"/>
    <col min="7681" max="7681" width="97.5703125" style="1" customWidth="1"/>
    <col min="7682" max="7682" width="24.140625" style="1" customWidth="1"/>
    <col min="7683" max="7683" width="17.28515625" style="1" customWidth="1"/>
    <col min="7684" max="7684" width="16.42578125" style="1" customWidth="1"/>
    <col min="7685" max="7685" width="40.140625" style="1" customWidth="1"/>
    <col min="7686" max="7935" width="9.140625" style="1"/>
    <col min="7936" max="7936" width="5" style="1" customWidth="1"/>
    <col min="7937" max="7937" width="97.5703125" style="1" customWidth="1"/>
    <col min="7938" max="7938" width="24.140625" style="1" customWidth="1"/>
    <col min="7939" max="7939" width="17.28515625" style="1" customWidth="1"/>
    <col min="7940" max="7940" width="16.42578125" style="1" customWidth="1"/>
    <col min="7941" max="7941" width="40.140625" style="1" customWidth="1"/>
    <col min="7942" max="8191" width="9.140625" style="1"/>
    <col min="8192" max="8192" width="5" style="1" customWidth="1"/>
    <col min="8193" max="8193" width="97.5703125" style="1" customWidth="1"/>
    <col min="8194" max="8194" width="24.140625" style="1" customWidth="1"/>
    <col min="8195" max="8195" width="17.28515625" style="1" customWidth="1"/>
    <col min="8196" max="8196" width="16.42578125" style="1" customWidth="1"/>
    <col min="8197" max="8197" width="40.140625" style="1" customWidth="1"/>
    <col min="8198" max="8447" width="9.140625" style="1"/>
    <col min="8448" max="8448" width="5" style="1" customWidth="1"/>
    <col min="8449" max="8449" width="97.5703125" style="1" customWidth="1"/>
    <col min="8450" max="8450" width="24.140625" style="1" customWidth="1"/>
    <col min="8451" max="8451" width="17.28515625" style="1" customWidth="1"/>
    <col min="8452" max="8452" width="16.42578125" style="1" customWidth="1"/>
    <col min="8453" max="8453" width="40.140625" style="1" customWidth="1"/>
    <col min="8454" max="8703" width="9.140625" style="1"/>
    <col min="8704" max="8704" width="5" style="1" customWidth="1"/>
    <col min="8705" max="8705" width="97.5703125" style="1" customWidth="1"/>
    <col min="8706" max="8706" width="24.140625" style="1" customWidth="1"/>
    <col min="8707" max="8707" width="17.28515625" style="1" customWidth="1"/>
    <col min="8708" max="8708" width="16.42578125" style="1" customWidth="1"/>
    <col min="8709" max="8709" width="40.140625" style="1" customWidth="1"/>
    <col min="8710" max="8959" width="9.140625" style="1"/>
    <col min="8960" max="8960" width="5" style="1" customWidth="1"/>
    <col min="8961" max="8961" width="97.5703125" style="1" customWidth="1"/>
    <col min="8962" max="8962" width="24.140625" style="1" customWidth="1"/>
    <col min="8963" max="8963" width="17.28515625" style="1" customWidth="1"/>
    <col min="8964" max="8964" width="16.42578125" style="1" customWidth="1"/>
    <col min="8965" max="8965" width="40.140625" style="1" customWidth="1"/>
    <col min="8966" max="9215" width="9.140625" style="1"/>
    <col min="9216" max="9216" width="5" style="1" customWidth="1"/>
    <col min="9217" max="9217" width="97.5703125" style="1" customWidth="1"/>
    <col min="9218" max="9218" width="24.140625" style="1" customWidth="1"/>
    <col min="9219" max="9219" width="17.28515625" style="1" customWidth="1"/>
    <col min="9220" max="9220" width="16.42578125" style="1" customWidth="1"/>
    <col min="9221" max="9221" width="40.140625" style="1" customWidth="1"/>
    <col min="9222" max="9471" width="9.140625" style="1"/>
    <col min="9472" max="9472" width="5" style="1" customWidth="1"/>
    <col min="9473" max="9473" width="97.5703125" style="1" customWidth="1"/>
    <col min="9474" max="9474" width="24.140625" style="1" customWidth="1"/>
    <col min="9475" max="9475" width="17.28515625" style="1" customWidth="1"/>
    <col min="9476" max="9476" width="16.42578125" style="1" customWidth="1"/>
    <col min="9477" max="9477" width="40.140625" style="1" customWidth="1"/>
    <col min="9478" max="9727" width="9.140625" style="1"/>
    <col min="9728" max="9728" width="5" style="1" customWidth="1"/>
    <col min="9729" max="9729" width="97.5703125" style="1" customWidth="1"/>
    <col min="9730" max="9730" width="24.140625" style="1" customWidth="1"/>
    <col min="9731" max="9731" width="17.28515625" style="1" customWidth="1"/>
    <col min="9732" max="9732" width="16.42578125" style="1" customWidth="1"/>
    <col min="9733" max="9733" width="40.140625" style="1" customWidth="1"/>
    <col min="9734" max="9983" width="9.140625" style="1"/>
    <col min="9984" max="9984" width="5" style="1" customWidth="1"/>
    <col min="9985" max="9985" width="97.5703125" style="1" customWidth="1"/>
    <col min="9986" max="9986" width="24.140625" style="1" customWidth="1"/>
    <col min="9987" max="9987" width="17.28515625" style="1" customWidth="1"/>
    <col min="9988" max="9988" width="16.42578125" style="1" customWidth="1"/>
    <col min="9989" max="9989" width="40.140625" style="1" customWidth="1"/>
    <col min="9990" max="10239" width="9.140625" style="1"/>
    <col min="10240" max="10240" width="5" style="1" customWidth="1"/>
    <col min="10241" max="10241" width="97.5703125" style="1" customWidth="1"/>
    <col min="10242" max="10242" width="24.140625" style="1" customWidth="1"/>
    <col min="10243" max="10243" width="17.28515625" style="1" customWidth="1"/>
    <col min="10244" max="10244" width="16.42578125" style="1" customWidth="1"/>
    <col min="10245" max="10245" width="40.140625" style="1" customWidth="1"/>
    <col min="10246" max="10495" width="9.140625" style="1"/>
    <col min="10496" max="10496" width="5" style="1" customWidth="1"/>
    <col min="10497" max="10497" width="97.5703125" style="1" customWidth="1"/>
    <col min="10498" max="10498" width="24.140625" style="1" customWidth="1"/>
    <col min="10499" max="10499" width="17.28515625" style="1" customWidth="1"/>
    <col min="10500" max="10500" width="16.42578125" style="1" customWidth="1"/>
    <col min="10501" max="10501" width="40.140625" style="1" customWidth="1"/>
    <col min="10502" max="10751" width="9.140625" style="1"/>
    <col min="10752" max="10752" width="5" style="1" customWidth="1"/>
    <col min="10753" max="10753" width="97.5703125" style="1" customWidth="1"/>
    <col min="10754" max="10754" width="24.140625" style="1" customWidth="1"/>
    <col min="10755" max="10755" width="17.28515625" style="1" customWidth="1"/>
    <col min="10756" max="10756" width="16.42578125" style="1" customWidth="1"/>
    <col min="10757" max="10757" width="40.140625" style="1" customWidth="1"/>
    <col min="10758" max="11007" width="9.140625" style="1"/>
    <col min="11008" max="11008" width="5" style="1" customWidth="1"/>
    <col min="11009" max="11009" width="97.5703125" style="1" customWidth="1"/>
    <col min="11010" max="11010" width="24.140625" style="1" customWidth="1"/>
    <col min="11011" max="11011" width="17.28515625" style="1" customWidth="1"/>
    <col min="11012" max="11012" width="16.42578125" style="1" customWidth="1"/>
    <col min="11013" max="11013" width="40.140625" style="1" customWidth="1"/>
    <col min="11014" max="11263" width="9.140625" style="1"/>
    <col min="11264" max="11264" width="5" style="1" customWidth="1"/>
    <col min="11265" max="11265" width="97.5703125" style="1" customWidth="1"/>
    <col min="11266" max="11266" width="24.140625" style="1" customWidth="1"/>
    <col min="11267" max="11267" width="17.28515625" style="1" customWidth="1"/>
    <col min="11268" max="11268" width="16.42578125" style="1" customWidth="1"/>
    <col min="11269" max="11269" width="40.140625" style="1" customWidth="1"/>
    <col min="11270" max="11519" width="9.140625" style="1"/>
    <col min="11520" max="11520" width="5" style="1" customWidth="1"/>
    <col min="11521" max="11521" width="97.5703125" style="1" customWidth="1"/>
    <col min="11522" max="11522" width="24.140625" style="1" customWidth="1"/>
    <col min="11523" max="11523" width="17.28515625" style="1" customWidth="1"/>
    <col min="11524" max="11524" width="16.42578125" style="1" customWidth="1"/>
    <col min="11525" max="11525" width="40.140625" style="1" customWidth="1"/>
    <col min="11526" max="11775" width="9.140625" style="1"/>
    <col min="11776" max="11776" width="5" style="1" customWidth="1"/>
    <col min="11777" max="11777" width="97.5703125" style="1" customWidth="1"/>
    <col min="11778" max="11778" width="24.140625" style="1" customWidth="1"/>
    <col min="11779" max="11779" width="17.28515625" style="1" customWidth="1"/>
    <col min="11780" max="11780" width="16.42578125" style="1" customWidth="1"/>
    <col min="11781" max="11781" width="40.140625" style="1" customWidth="1"/>
    <col min="11782" max="12031" width="9.140625" style="1"/>
    <col min="12032" max="12032" width="5" style="1" customWidth="1"/>
    <col min="12033" max="12033" width="97.5703125" style="1" customWidth="1"/>
    <col min="12034" max="12034" width="24.140625" style="1" customWidth="1"/>
    <col min="12035" max="12035" width="17.28515625" style="1" customWidth="1"/>
    <col min="12036" max="12036" width="16.42578125" style="1" customWidth="1"/>
    <col min="12037" max="12037" width="40.140625" style="1" customWidth="1"/>
    <col min="12038" max="12287" width="9.140625" style="1"/>
    <col min="12288" max="12288" width="5" style="1" customWidth="1"/>
    <col min="12289" max="12289" width="97.5703125" style="1" customWidth="1"/>
    <col min="12290" max="12290" width="24.140625" style="1" customWidth="1"/>
    <col min="12291" max="12291" width="17.28515625" style="1" customWidth="1"/>
    <col min="12292" max="12292" width="16.42578125" style="1" customWidth="1"/>
    <col min="12293" max="12293" width="40.140625" style="1" customWidth="1"/>
    <col min="12294" max="12543" width="9.140625" style="1"/>
    <col min="12544" max="12544" width="5" style="1" customWidth="1"/>
    <col min="12545" max="12545" width="97.5703125" style="1" customWidth="1"/>
    <col min="12546" max="12546" width="24.140625" style="1" customWidth="1"/>
    <col min="12547" max="12547" width="17.28515625" style="1" customWidth="1"/>
    <col min="12548" max="12548" width="16.42578125" style="1" customWidth="1"/>
    <col min="12549" max="12549" width="40.140625" style="1" customWidth="1"/>
    <col min="12550" max="12799" width="9.140625" style="1"/>
    <col min="12800" max="12800" width="5" style="1" customWidth="1"/>
    <col min="12801" max="12801" width="97.5703125" style="1" customWidth="1"/>
    <col min="12802" max="12802" width="24.140625" style="1" customWidth="1"/>
    <col min="12803" max="12803" width="17.28515625" style="1" customWidth="1"/>
    <col min="12804" max="12804" width="16.42578125" style="1" customWidth="1"/>
    <col min="12805" max="12805" width="40.140625" style="1" customWidth="1"/>
    <col min="12806" max="13055" width="9.140625" style="1"/>
    <col min="13056" max="13056" width="5" style="1" customWidth="1"/>
    <col min="13057" max="13057" width="97.5703125" style="1" customWidth="1"/>
    <col min="13058" max="13058" width="24.140625" style="1" customWidth="1"/>
    <col min="13059" max="13059" width="17.28515625" style="1" customWidth="1"/>
    <col min="13060" max="13060" width="16.42578125" style="1" customWidth="1"/>
    <col min="13061" max="13061" width="40.140625" style="1" customWidth="1"/>
    <col min="13062" max="13311" width="9.140625" style="1"/>
    <col min="13312" max="13312" width="5" style="1" customWidth="1"/>
    <col min="13313" max="13313" width="97.5703125" style="1" customWidth="1"/>
    <col min="13314" max="13314" width="24.140625" style="1" customWidth="1"/>
    <col min="13315" max="13315" width="17.28515625" style="1" customWidth="1"/>
    <col min="13316" max="13316" width="16.42578125" style="1" customWidth="1"/>
    <col min="13317" max="13317" width="40.140625" style="1" customWidth="1"/>
    <col min="13318" max="13567" width="9.140625" style="1"/>
    <col min="13568" max="13568" width="5" style="1" customWidth="1"/>
    <col min="13569" max="13569" width="97.5703125" style="1" customWidth="1"/>
    <col min="13570" max="13570" width="24.140625" style="1" customWidth="1"/>
    <col min="13571" max="13571" width="17.28515625" style="1" customWidth="1"/>
    <col min="13572" max="13572" width="16.42578125" style="1" customWidth="1"/>
    <col min="13573" max="13573" width="40.140625" style="1" customWidth="1"/>
    <col min="13574" max="13823" width="9.140625" style="1"/>
    <col min="13824" max="13824" width="5" style="1" customWidth="1"/>
    <col min="13825" max="13825" width="97.5703125" style="1" customWidth="1"/>
    <col min="13826" max="13826" width="24.140625" style="1" customWidth="1"/>
    <col min="13827" max="13827" width="17.28515625" style="1" customWidth="1"/>
    <col min="13828" max="13828" width="16.42578125" style="1" customWidth="1"/>
    <col min="13829" max="13829" width="40.140625" style="1" customWidth="1"/>
    <col min="13830" max="14079" width="9.140625" style="1"/>
    <col min="14080" max="14080" width="5" style="1" customWidth="1"/>
    <col min="14081" max="14081" width="97.5703125" style="1" customWidth="1"/>
    <col min="14082" max="14082" width="24.140625" style="1" customWidth="1"/>
    <col min="14083" max="14083" width="17.28515625" style="1" customWidth="1"/>
    <col min="14084" max="14084" width="16.42578125" style="1" customWidth="1"/>
    <col min="14085" max="14085" width="40.140625" style="1" customWidth="1"/>
    <col min="14086" max="14335" width="9.140625" style="1"/>
    <col min="14336" max="14336" width="5" style="1" customWidth="1"/>
    <col min="14337" max="14337" width="97.5703125" style="1" customWidth="1"/>
    <col min="14338" max="14338" width="24.140625" style="1" customWidth="1"/>
    <col min="14339" max="14339" width="17.28515625" style="1" customWidth="1"/>
    <col min="14340" max="14340" width="16.42578125" style="1" customWidth="1"/>
    <col min="14341" max="14341" width="40.140625" style="1" customWidth="1"/>
    <col min="14342" max="14591" width="9.140625" style="1"/>
    <col min="14592" max="14592" width="5" style="1" customWidth="1"/>
    <col min="14593" max="14593" width="97.5703125" style="1" customWidth="1"/>
    <col min="14594" max="14594" width="24.140625" style="1" customWidth="1"/>
    <col min="14595" max="14595" width="17.28515625" style="1" customWidth="1"/>
    <col min="14596" max="14596" width="16.42578125" style="1" customWidth="1"/>
    <col min="14597" max="14597" width="40.140625" style="1" customWidth="1"/>
    <col min="14598" max="14847" width="9.140625" style="1"/>
    <col min="14848" max="14848" width="5" style="1" customWidth="1"/>
    <col min="14849" max="14849" width="97.5703125" style="1" customWidth="1"/>
    <col min="14850" max="14850" width="24.140625" style="1" customWidth="1"/>
    <col min="14851" max="14851" width="17.28515625" style="1" customWidth="1"/>
    <col min="14852" max="14852" width="16.42578125" style="1" customWidth="1"/>
    <col min="14853" max="14853" width="40.140625" style="1" customWidth="1"/>
    <col min="14854" max="15103" width="9.140625" style="1"/>
    <col min="15104" max="15104" width="5" style="1" customWidth="1"/>
    <col min="15105" max="15105" width="97.5703125" style="1" customWidth="1"/>
    <col min="15106" max="15106" width="24.140625" style="1" customWidth="1"/>
    <col min="15107" max="15107" width="17.28515625" style="1" customWidth="1"/>
    <col min="15108" max="15108" width="16.42578125" style="1" customWidth="1"/>
    <col min="15109" max="15109" width="40.140625" style="1" customWidth="1"/>
    <col min="15110" max="15359" width="9.140625" style="1"/>
    <col min="15360" max="15360" width="5" style="1" customWidth="1"/>
    <col min="15361" max="15361" width="97.5703125" style="1" customWidth="1"/>
    <col min="15362" max="15362" width="24.140625" style="1" customWidth="1"/>
    <col min="15363" max="15363" width="17.28515625" style="1" customWidth="1"/>
    <col min="15364" max="15364" width="16.42578125" style="1" customWidth="1"/>
    <col min="15365" max="15365" width="40.140625" style="1" customWidth="1"/>
    <col min="15366" max="15615" width="9.140625" style="1"/>
    <col min="15616" max="15616" width="5" style="1" customWidth="1"/>
    <col min="15617" max="15617" width="97.5703125" style="1" customWidth="1"/>
    <col min="15618" max="15618" width="24.140625" style="1" customWidth="1"/>
    <col min="15619" max="15619" width="17.28515625" style="1" customWidth="1"/>
    <col min="15620" max="15620" width="16.42578125" style="1" customWidth="1"/>
    <col min="15621" max="15621" width="40.140625" style="1" customWidth="1"/>
    <col min="15622" max="15871" width="9.140625" style="1"/>
    <col min="15872" max="15872" width="5" style="1" customWidth="1"/>
    <col min="15873" max="15873" width="97.5703125" style="1" customWidth="1"/>
    <col min="15874" max="15874" width="24.140625" style="1" customWidth="1"/>
    <col min="15875" max="15875" width="17.28515625" style="1" customWidth="1"/>
    <col min="15876" max="15876" width="16.42578125" style="1" customWidth="1"/>
    <col min="15877" max="15877" width="40.140625" style="1" customWidth="1"/>
    <col min="15878" max="16127" width="9.140625" style="1"/>
    <col min="16128" max="16128" width="5" style="1" customWidth="1"/>
    <col min="16129" max="16129" width="97.5703125" style="1" customWidth="1"/>
    <col min="16130" max="16130" width="24.140625" style="1" customWidth="1"/>
    <col min="16131" max="16131" width="17.28515625" style="1" customWidth="1"/>
    <col min="16132" max="16132" width="16.42578125" style="1" customWidth="1"/>
    <col min="16133" max="16133" width="40.140625" style="1" customWidth="1"/>
    <col min="16134" max="16384" width="9.140625" style="1"/>
  </cols>
  <sheetData>
    <row r="1" spans="1:7" hidden="1">
      <c r="C1" s="270"/>
      <c r="D1" s="270"/>
    </row>
    <row r="2" spans="1:7" ht="73.5" customHeight="1">
      <c r="C2" s="484" t="s">
        <v>444</v>
      </c>
      <c r="D2" s="484"/>
      <c r="E2" s="404"/>
    </row>
    <row r="3" spans="1:7" ht="25.9" customHeight="1">
      <c r="A3" s="4"/>
      <c r="B3" s="485" t="s">
        <v>6</v>
      </c>
      <c r="C3" s="485"/>
      <c r="D3" s="486"/>
      <c r="E3" s="6"/>
      <c r="F3" s="6"/>
      <c r="G3" s="6"/>
    </row>
    <row r="4" spans="1:7" ht="36.6" customHeight="1">
      <c r="A4" s="4"/>
      <c r="B4" s="487" t="s">
        <v>232</v>
      </c>
      <c r="C4" s="487"/>
      <c r="D4" s="488"/>
      <c r="E4" s="6"/>
      <c r="F4" s="6"/>
      <c r="G4" s="6"/>
    </row>
    <row r="5" spans="1:7" ht="38.25">
      <c r="A5" s="271"/>
      <c r="B5" s="28" t="s">
        <v>7</v>
      </c>
      <c r="C5" s="28" t="s">
        <v>8</v>
      </c>
      <c r="D5" s="28" t="s">
        <v>9</v>
      </c>
      <c r="E5" s="6"/>
      <c r="F5" s="6"/>
      <c r="G5" s="6"/>
    </row>
    <row r="6" spans="1:7" ht="30.75" customHeight="1">
      <c r="A6" s="418">
        <v>1</v>
      </c>
      <c r="B6" s="419" t="s">
        <v>12</v>
      </c>
      <c r="C6" s="420" t="s">
        <v>10</v>
      </c>
      <c r="D6" s="29"/>
      <c r="E6" s="421"/>
      <c r="F6"/>
      <c r="G6"/>
    </row>
    <row r="7" spans="1:7" ht="54" customHeight="1">
      <c r="A7" s="418">
        <v>2</v>
      </c>
      <c r="B7" s="422" t="s">
        <v>463</v>
      </c>
      <c r="C7" s="423" t="s">
        <v>462</v>
      </c>
      <c r="D7" s="29"/>
      <c r="E7"/>
      <c r="F7"/>
      <c r="G7"/>
    </row>
    <row r="8" spans="1:7" ht="53.25" customHeight="1">
      <c r="A8" s="418">
        <v>3</v>
      </c>
      <c r="B8" s="422" t="s">
        <v>464</v>
      </c>
      <c r="C8" s="423" t="s">
        <v>462</v>
      </c>
      <c r="D8" s="29"/>
      <c r="E8"/>
      <c r="F8"/>
      <c r="G8"/>
    </row>
    <row r="9" spans="1:7" ht="50.25" customHeight="1">
      <c r="A9" s="418">
        <v>4</v>
      </c>
      <c r="B9" s="272" t="s">
        <v>465</v>
      </c>
      <c r="C9" s="424" t="s">
        <v>13</v>
      </c>
      <c r="D9" s="29"/>
      <c r="E9"/>
      <c r="F9"/>
      <c r="G9"/>
    </row>
    <row r="10" spans="1:7" ht="43.5" customHeight="1">
      <c r="A10" s="418">
        <v>5</v>
      </c>
      <c r="B10" s="425" t="s">
        <v>466</v>
      </c>
      <c r="C10" s="424" t="s">
        <v>13</v>
      </c>
      <c r="D10" s="29"/>
      <c r="E10"/>
      <c r="F10"/>
      <c r="G10"/>
    </row>
    <row r="11" spans="1:7" ht="39.75" customHeight="1">
      <c r="A11" s="418">
        <v>6</v>
      </c>
      <c r="B11" s="424" t="s">
        <v>467</v>
      </c>
      <c r="C11" s="423" t="s">
        <v>13</v>
      </c>
      <c r="D11" s="29"/>
      <c r="E11"/>
      <c r="F11"/>
      <c r="G11"/>
    </row>
    <row r="12" spans="1:7" ht="66" customHeight="1">
      <c r="A12" s="418">
        <v>7</v>
      </c>
      <c r="B12" s="426" t="s">
        <v>468</v>
      </c>
      <c r="C12" s="423" t="s">
        <v>13</v>
      </c>
      <c r="D12" s="29"/>
      <c r="E12"/>
      <c r="F12"/>
      <c r="G12"/>
    </row>
    <row r="13" spans="1:7" ht="58.5" customHeight="1">
      <c r="A13" s="427"/>
      <c r="B13" s="428" t="s">
        <v>469</v>
      </c>
      <c r="C13" s="424"/>
      <c r="D13" s="29"/>
      <c r="E13"/>
      <c r="F13"/>
      <c r="G13"/>
    </row>
    <row r="14" spans="1:7" ht="114" customHeight="1">
      <c r="A14" s="427"/>
      <c r="B14" s="428" t="s">
        <v>470</v>
      </c>
      <c r="C14" s="424"/>
      <c r="D14" s="29"/>
      <c r="E14"/>
      <c r="F14"/>
      <c r="G14"/>
    </row>
    <row r="15" spans="1:7" ht="63.75" customHeight="1">
      <c r="A15" s="427" t="s">
        <v>239</v>
      </c>
      <c r="B15" s="426" t="s">
        <v>471</v>
      </c>
      <c r="C15" s="424" t="s">
        <v>13</v>
      </c>
      <c r="D15" s="29"/>
      <c r="E15"/>
      <c r="F15"/>
      <c r="G15"/>
    </row>
    <row r="16" spans="1:7" ht="65.25" customHeight="1">
      <c r="A16" s="429" t="s">
        <v>236</v>
      </c>
      <c r="B16" s="430" t="s">
        <v>472</v>
      </c>
      <c r="C16" s="420" t="s">
        <v>388</v>
      </c>
      <c r="D16" s="29"/>
      <c r="E16"/>
      <c r="F16"/>
      <c r="G16"/>
    </row>
    <row r="17" spans="1:7" ht="20.25" customHeight="1">
      <c r="A17" s="483" t="s">
        <v>473</v>
      </c>
      <c r="B17" s="483"/>
      <c r="C17" s="483"/>
      <c r="D17" s="483"/>
      <c r="E17"/>
      <c r="F17"/>
      <c r="G17"/>
    </row>
    <row r="18" spans="1:7" ht="15.75" customHeight="1">
      <c r="A18" s="489"/>
      <c r="B18" s="490"/>
      <c r="C18" s="490"/>
      <c r="D18" s="491"/>
      <c r="E18"/>
      <c r="F18"/>
      <c r="G18"/>
    </row>
    <row r="19" spans="1:7" ht="15" customHeight="1">
      <c r="A19" s="431"/>
      <c r="B19" s="492" t="s">
        <v>234</v>
      </c>
      <c r="C19" s="492"/>
      <c r="D19" s="492"/>
      <c r="E19"/>
      <c r="F19"/>
      <c r="G19"/>
    </row>
    <row r="20" spans="1:7" ht="33.75" customHeight="1">
      <c r="A20" s="432">
        <v>10</v>
      </c>
      <c r="B20" s="433" t="s">
        <v>235</v>
      </c>
      <c r="C20" s="434" t="s">
        <v>10</v>
      </c>
      <c r="D20" s="435"/>
      <c r="E20"/>
      <c r="F20"/>
      <c r="G20"/>
    </row>
    <row r="21" spans="1:7" ht="51" customHeight="1">
      <c r="A21" s="436" t="s">
        <v>474</v>
      </c>
      <c r="B21" s="437" t="s">
        <v>475</v>
      </c>
      <c r="C21" s="438" t="s">
        <v>13</v>
      </c>
      <c r="D21" s="439"/>
      <c r="E21"/>
      <c r="F21"/>
      <c r="G21"/>
    </row>
    <row r="22" spans="1:7" ht="48.75" customHeight="1">
      <c r="A22" s="440" t="s">
        <v>476</v>
      </c>
      <c r="B22" s="441" t="s">
        <v>477</v>
      </c>
      <c r="C22" s="442" t="s">
        <v>462</v>
      </c>
      <c r="D22" s="435"/>
      <c r="E22"/>
      <c r="F22"/>
      <c r="G22"/>
    </row>
    <row r="23" spans="1:7" ht="20.25" customHeight="1">
      <c r="A23" s="483"/>
      <c r="B23" s="483"/>
      <c r="C23" s="483"/>
      <c r="D23" s="483"/>
      <c r="E23"/>
      <c r="F23"/>
      <c r="G23"/>
    </row>
    <row r="24" spans="1:7" ht="15" customHeight="1">
      <c r="A24" s="431"/>
      <c r="B24" s="494" t="s">
        <v>478</v>
      </c>
      <c r="C24" s="494"/>
      <c r="D24" s="494"/>
      <c r="E24"/>
      <c r="F24"/>
      <c r="G24"/>
    </row>
    <row r="25" spans="1:7" ht="15" customHeight="1">
      <c r="A25" s="443"/>
      <c r="B25" s="444"/>
      <c r="C25" s="444"/>
      <c r="D25" s="444"/>
      <c r="E25"/>
      <c r="F25"/>
      <c r="G25"/>
    </row>
    <row r="26" spans="1:7" ht="15" customHeight="1">
      <c r="A26" s="431"/>
      <c r="B26" s="495" t="s">
        <v>237</v>
      </c>
      <c r="C26" s="495"/>
      <c r="D26" s="495"/>
      <c r="E26"/>
      <c r="F26"/>
      <c r="G26"/>
    </row>
    <row r="27" spans="1:7" ht="142.5" customHeight="1">
      <c r="A27" s="445"/>
      <c r="B27" s="496" t="s">
        <v>479</v>
      </c>
      <c r="C27" s="496"/>
      <c r="D27" s="496"/>
      <c r="E27" s="446"/>
      <c r="F27"/>
      <c r="G27"/>
    </row>
    <row r="28" spans="1:7" ht="33" customHeight="1">
      <c r="A28" s="445"/>
      <c r="B28" s="497" t="s">
        <v>480</v>
      </c>
      <c r="C28" s="497"/>
      <c r="D28" s="497"/>
      <c r="E28" s="446"/>
      <c r="F28"/>
      <c r="G28"/>
    </row>
    <row r="29" spans="1:7" ht="33" customHeight="1">
      <c r="A29" s="447"/>
      <c r="B29" s="493" t="s">
        <v>481</v>
      </c>
      <c r="C29" s="493"/>
      <c r="D29" s="493"/>
      <c r="E29"/>
      <c r="F29"/>
      <c r="G29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</sheetData>
  <mergeCells count="12">
    <mergeCell ref="B29:D29"/>
    <mergeCell ref="B24:D24"/>
    <mergeCell ref="B26:D26"/>
    <mergeCell ref="B27:D27"/>
    <mergeCell ref="B28:D28"/>
    <mergeCell ref="A23:D23"/>
    <mergeCell ref="C2:D2"/>
    <mergeCell ref="B3:D3"/>
    <mergeCell ref="B4:D4"/>
    <mergeCell ref="A18:D18"/>
    <mergeCell ref="B19:D19"/>
    <mergeCell ref="A17:D17"/>
  </mergeCells>
  <hyperlinks>
    <hyperlink ref="B6" location="Заявка!A1" display="Заявка на получение кредита"/>
    <hyperlink ref="B20" location="'Анкета поручителя'!A1" display="Анкета поручителя"/>
    <hyperlink ref="B26:D26" location="'Док-ты по залогодателю'!A1" display="Документы по залогодателю-третьему лицу"/>
    <hyperlink ref="B7" location="'Согласие ЮЛ'!A1" display="Согласие заявителя на получение банком в Национальном банке Республики Беларусь кредитного отчета, а также сведений об организации из информационных ресурсов, находящихся в ведении Министерства внутренних дел Республики Беларусь и Национального банка Респ"/>
    <hyperlink ref="B8" location="'Согласие ФЛ'!A1" display="Согласие руководителя заявителя* на получение банком в Национальном банке Республики Беларусь кредитного отчета, а также сведений об организации / о физическом лице из информационных ресурсов, находящихся в ведении Министерства внутренних дел Республики Б"/>
    <hyperlink ref="B22" location="'Согласие ФЛ'!A1" display="Согласие поручителя на получение банком в Национальном банке Республики Беларусь кредитного отчета, а также сведений о физическом лице из информационных ресурсов, находящихся в ведении Министерства внутренних дел Республики Беларусь"/>
  </hyperlinks>
  <pageMargins left="0.39370078740157483" right="0.39370078740157483" top="0.39370078740157483" bottom="0.39370078740157483" header="0.31496062992125984" footer="0.31496062992125984"/>
  <pageSetup paperSize="9" scale="65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76200</xdr:rowOff>
                  </from>
                  <to>
                    <xdr:col>3</xdr:col>
                    <xdr:colOff>381000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381000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104775</xdr:rowOff>
                  </from>
                  <to>
                    <xdr:col>3</xdr:col>
                    <xdr:colOff>361950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552450</xdr:rowOff>
                  </from>
                  <to>
                    <xdr:col>3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95250</xdr:rowOff>
                  </from>
                  <to>
                    <xdr:col>3</xdr:col>
                    <xdr:colOff>361950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1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85725</xdr:rowOff>
                  </from>
                  <to>
                    <xdr:col>3</xdr:col>
                    <xdr:colOff>381000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381000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85725</xdr:rowOff>
                  </from>
                  <to>
                    <xdr:col>3</xdr:col>
                    <xdr:colOff>381000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85725</xdr:rowOff>
                  </from>
                  <to>
                    <xdr:col>3</xdr:col>
                    <xdr:colOff>381000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2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3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85725</xdr:rowOff>
                  </from>
                  <to>
                    <xdr:col>3</xdr:col>
                    <xdr:colOff>381000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4" r:id="rId1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76200</xdr:rowOff>
                  </from>
                  <to>
                    <xdr:col>3</xdr:col>
                    <xdr:colOff>381000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5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381000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6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104775</xdr:rowOff>
                  </from>
                  <to>
                    <xdr:col>3</xdr:col>
                    <xdr:colOff>361950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7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552450</xdr:rowOff>
                  </from>
                  <to>
                    <xdr:col>3</xdr:col>
                    <xdr:colOff>361950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21" name="Check Box 18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23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95250</xdr:rowOff>
                  </from>
                  <to>
                    <xdr:col>3</xdr:col>
                    <xdr:colOff>361950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24" name="Check Box 21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85725</xdr:rowOff>
                  </from>
                  <to>
                    <xdr:col>3</xdr:col>
                    <xdr:colOff>381000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2" r:id="rId25" name="Check Box 22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381000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3" r:id="rId26" name="Check Box 23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85725</xdr:rowOff>
                  </from>
                  <to>
                    <xdr:col>3</xdr:col>
                    <xdr:colOff>381000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27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85725</xdr:rowOff>
                  </from>
                  <to>
                    <xdr:col>3</xdr:col>
                    <xdr:colOff>381000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5" r:id="rId28" name="Check Box 2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6" r:id="rId29" name="Check Box 26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85725</xdr:rowOff>
                  </from>
                  <to>
                    <xdr:col>3</xdr:col>
                    <xdr:colOff>381000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30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76200</xdr:rowOff>
                  </from>
                  <to>
                    <xdr:col>3</xdr:col>
                    <xdr:colOff>381000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8" r:id="rId31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0</xdr:rowOff>
                  </from>
                  <to>
                    <xdr:col>3</xdr:col>
                    <xdr:colOff>381000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9" r:id="rId32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104775</xdr:rowOff>
                  </from>
                  <to>
                    <xdr:col>3</xdr:col>
                    <xdr:colOff>361950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0" r:id="rId33" name="Check Box 30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552450</xdr:rowOff>
                  </from>
                  <to>
                    <xdr:col>3</xdr:col>
                    <xdr:colOff>361950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1" r:id="rId34" name="Check Box 31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2" r:id="rId35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3" r:id="rId36" name="Check Box 33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95250</xdr:rowOff>
                  </from>
                  <to>
                    <xdr:col>3</xdr:col>
                    <xdr:colOff>361950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4" r:id="rId37" name="Check Box 34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85725</xdr:rowOff>
                  </from>
                  <to>
                    <xdr:col>3</xdr:col>
                    <xdr:colOff>381000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5" r:id="rId38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381000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6" r:id="rId39" name="Check Box 3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85725</xdr:rowOff>
                  </from>
                  <to>
                    <xdr:col>3</xdr:col>
                    <xdr:colOff>381000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7" r:id="rId40" name="Check Box 37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85725</xdr:rowOff>
                  </from>
                  <to>
                    <xdr:col>3</xdr:col>
                    <xdr:colOff>381000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8" r:id="rId41" name="Check Box 3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381000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9" r:id="rId42" name="Check Box 39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85725</xdr:rowOff>
                  </from>
                  <to>
                    <xdr:col>3</xdr:col>
                    <xdr:colOff>381000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G26"/>
  <sheetViews>
    <sheetView showGridLines="0" view="pageBreakPreview" topLeftCell="A13" zoomScaleNormal="90" zoomScaleSheetLayoutView="100" workbookViewId="0">
      <selection activeCell="B13" sqref="B13"/>
    </sheetView>
  </sheetViews>
  <sheetFormatPr defaultRowHeight="15"/>
  <cols>
    <col min="1" max="1" width="5" style="1" customWidth="1"/>
    <col min="2" max="2" width="97.5703125" style="1" customWidth="1"/>
    <col min="3" max="3" width="27" style="1" customWidth="1"/>
    <col min="4" max="4" width="17.28515625" style="1" customWidth="1"/>
    <col min="5" max="5" width="40.140625" style="1" customWidth="1"/>
    <col min="6" max="255" width="9.140625" style="1"/>
    <col min="256" max="256" width="5" style="1" customWidth="1"/>
    <col min="257" max="257" width="97.5703125" style="1" customWidth="1"/>
    <col min="258" max="258" width="24.140625" style="1" customWidth="1"/>
    <col min="259" max="259" width="17.28515625" style="1" customWidth="1"/>
    <col min="260" max="260" width="16.42578125" style="1" customWidth="1"/>
    <col min="261" max="261" width="40.140625" style="1" customWidth="1"/>
    <col min="262" max="511" width="9.140625" style="1"/>
    <col min="512" max="512" width="5" style="1" customWidth="1"/>
    <col min="513" max="513" width="97.5703125" style="1" customWidth="1"/>
    <col min="514" max="514" width="24.140625" style="1" customWidth="1"/>
    <col min="515" max="515" width="17.28515625" style="1" customWidth="1"/>
    <col min="516" max="516" width="16.42578125" style="1" customWidth="1"/>
    <col min="517" max="517" width="40.140625" style="1" customWidth="1"/>
    <col min="518" max="767" width="9.140625" style="1"/>
    <col min="768" max="768" width="5" style="1" customWidth="1"/>
    <col min="769" max="769" width="97.5703125" style="1" customWidth="1"/>
    <col min="770" max="770" width="24.140625" style="1" customWidth="1"/>
    <col min="771" max="771" width="17.28515625" style="1" customWidth="1"/>
    <col min="772" max="772" width="16.42578125" style="1" customWidth="1"/>
    <col min="773" max="773" width="40.140625" style="1" customWidth="1"/>
    <col min="774" max="1023" width="9.140625" style="1"/>
    <col min="1024" max="1024" width="5" style="1" customWidth="1"/>
    <col min="1025" max="1025" width="97.5703125" style="1" customWidth="1"/>
    <col min="1026" max="1026" width="24.140625" style="1" customWidth="1"/>
    <col min="1027" max="1027" width="17.28515625" style="1" customWidth="1"/>
    <col min="1028" max="1028" width="16.42578125" style="1" customWidth="1"/>
    <col min="1029" max="1029" width="40.140625" style="1" customWidth="1"/>
    <col min="1030" max="1279" width="9.140625" style="1"/>
    <col min="1280" max="1280" width="5" style="1" customWidth="1"/>
    <col min="1281" max="1281" width="97.5703125" style="1" customWidth="1"/>
    <col min="1282" max="1282" width="24.140625" style="1" customWidth="1"/>
    <col min="1283" max="1283" width="17.28515625" style="1" customWidth="1"/>
    <col min="1284" max="1284" width="16.42578125" style="1" customWidth="1"/>
    <col min="1285" max="1285" width="40.140625" style="1" customWidth="1"/>
    <col min="1286" max="1535" width="9.140625" style="1"/>
    <col min="1536" max="1536" width="5" style="1" customWidth="1"/>
    <col min="1537" max="1537" width="97.5703125" style="1" customWidth="1"/>
    <col min="1538" max="1538" width="24.140625" style="1" customWidth="1"/>
    <col min="1539" max="1539" width="17.28515625" style="1" customWidth="1"/>
    <col min="1540" max="1540" width="16.42578125" style="1" customWidth="1"/>
    <col min="1541" max="1541" width="40.140625" style="1" customWidth="1"/>
    <col min="1542" max="1791" width="9.140625" style="1"/>
    <col min="1792" max="1792" width="5" style="1" customWidth="1"/>
    <col min="1793" max="1793" width="97.5703125" style="1" customWidth="1"/>
    <col min="1794" max="1794" width="24.140625" style="1" customWidth="1"/>
    <col min="1795" max="1795" width="17.28515625" style="1" customWidth="1"/>
    <col min="1796" max="1796" width="16.42578125" style="1" customWidth="1"/>
    <col min="1797" max="1797" width="40.140625" style="1" customWidth="1"/>
    <col min="1798" max="2047" width="9.140625" style="1"/>
    <col min="2048" max="2048" width="5" style="1" customWidth="1"/>
    <col min="2049" max="2049" width="97.5703125" style="1" customWidth="1"/>
    <col min="2050" max="2050" width="24.140625" style="1" customWidth="1"/>
    <col min="2051" max="2051" width="17.28515625" style="1" customWidth="1"/>
    <col min="2052" max="2052" width="16.42578125" style="1" customWidth="1"/>
    <col min="2053" max="2053" width="40.140625" style="1" customWidth="1"/>
    <col min="2054" max="2303" width="9.140625" style="1"/>
    <col min="2304" max="2304" width="5" style="1" customWidth="1"/>
    <col min="2305" max="2305" width="97.5703125" style="1" customWidth="1"/>
    <col min="2306" max="2306" width="24.140625" style="1" customWidth="1"/>
    <col min="2307" max="2307" width="17.28515625" style="1" customWidth="1"/>
    <col min="2308" max="2308" width="16.42578125" style="1" customWidth="1"/>
    <col min="2309" max="2309" width="40.140625" style="1" customWidth="1"/>
    <col min="2310" max="2559" width="9.140625" style="1"/>
    <col min="2560" max="2560" width="5" style="1" customWidth="1"/>
    <col min="2561" max="2561" width="97.5703125" style="1" customWidth="1"/>
    <col min="2562" max="2562" width="24.140625" style="1" customWidth="1"/>
    <col min="2563" max="2563" width="17.28515625" style="1" customWidth="1"/>
    <col min="2564" max="2564" width="16.42578125" style="1" customWidth="1"/>
    <col min="2565" max="2565" width="40.140625" style="1" customWidth="1"/>
    <col min="2566" max="2815" width="9.140625" style="1"/>
    <col min="2816" max="2816" width="5" style="1" customWidth="1"/>
    <col min="2817" max="2817" width="97.5703125" style="1" customWidth="1"/>
    <col min="2818" max="2818" width="24.140625" style="1" customWidth="1"/>
    <col min="2819" max="2819" width="17.28515625" style="1" customWidth="1"/>
    <col min="2820" max="2820" width="16.42578125" style="1" customWidth="1"/>
    <col min="2821" max="2821" width="40.140625" style="1" customWidth="1"/>
    <col min="2822" max="3071" width="9.140625" style="1"/>
    <col min="3072" max="3072" width="5" style="1" customWidth="1"/>
    <col min="3073" max="3073" width="97.5703125" style="1" customWidth="1"/>
    <col min="3074" max="3074" width="24.140625" style="1" customWidth="1"/>
    <col min="3075" max="3075" width="17.28515625" style="1" customWidth="1"/>
    <col min="3076" max="3076" width="16.42578125" style="1" customWidth="1"/>
    <col min="3077" max="3077" width="40.140625" style="1" customWidth="1"/>
    <col min="3078" max="3327" width="9.140625" style="1"/>
    <col min="3328" max="3328" width="5" style="1" customWidth="1"/>
    <col min="3329" max="3329" width="97.5703125" style="1" customWidth="1"/>
    <col min="3330" max="3330" width="24.140625" style="1" customWidth="1"/>
    <col min="3331" max="3331" width="17.28515625" style="1" customWidth="1"/>
    <col min="3332" max="3332" width="16.42578125" style="1" customWidth="1"/>
    <col min="3333" max="3333" width="40.140625" style="1" customWidth="1"/>
    <col min="3334" max="3583" width="9.140625" style="1"/>
    <col min="3584" max="3584" width="5" style="1" customWidth="1"/>
    <col min="3585" max="3585" width="97.5703125" style="1" customWidth="1"/>
    <col min="3586" max="3586" width="24.140625" style="1" customWidth="1"/>
    <col min="3587" max="3587" width="17.28515625" style="1" customWidth="1"/>
    <col min="3588" max="3588" width="16.42578125" style="1" customWidth="1"/>
    <col min="3589" max="3589" width="40.140625" style="1" customWidth="1"/>
    <col min="3590" max="3839" width="9.140625" style="1"/>
    <col min="3840" max="3840" width="5" style="1" customWidth="1"/>
    <col min="3841" max="3841" width="97.5703125" style="1" customWidth="1"/>
    <col min="3842" max="3842" width="24.140625" style="1" customWidth="1"/>
    <col min="3843" max="3843" width="17.28515625" style="1" customWidth="1"/>
    <col min="3844" max="3844" width="16.42578125" style="1" customWidth="1"/>
    <col min="3845" max="3845" width="40.140625" style="1" customWidth="1"/>
    <col min="3846" max="4095" width="9.140625" style="1"/>
    <col min="4096" max="4096" width="5" style="1" customWidth="1"/>
    <col min="4097" max="4097" width="97.5703125" style="1" customWidth="1"/>
    <col min="4098" max="4098" width="24.140625" style="1" customWidth="1"/>
    <col min="4099" max="4099" width="17.28515625" style="1" customWidth="1"/>
    <col min="4100" max="4100" width="16.42578125" style="1" customWidth="1"/>
    <col min="4101" max="4101" width="40.140625" style="1" customWidth="1"/>
    <col min="4102" max="4351" width="9.140625" style="1"/>
    <col min="4352" max="4352" width="5" style="1" customWidth="1"/>
    <col min="4353" max="4353" width="97.5703125" style="1" customWidth="1"/>
    <col min="4354" max="4354" width="24.140625" style="1" customWidth="1"/>
    <col min="4355" max="4355" width="17.28515625" style="1" customWidth="1"/>
    <col min="4356" max="4356" width="16.42578125" style="1" customWidth="1"/>
    <col min="4357" max="4357" width="40.140625" style="1" customWidth="1"/>
    <col min="4358" max="4607" width="9.140625" style="1"/>
    <col min="4608" max="4608" width="5" style="1" customWidth="1"/>
    <col min="4609" max="4609" width="97.5703125" style="1" customWidth="1"/>
    <col min="4610" max="4610" width="24.140625" style="1" customWidth="1"/>
    <col min="4611" max="4611" width="17.28515625" style="1" customWidth="1"/>
    <col min="4612" max="4612" width="16.42578125" style="1" customWidth="1"/>
    <col min="4613" max="4613" width="40.140625" style="1" customWidth="1"/>
    <col min="4614" max="4863" width="9.140625" style="1"/>
    <col min="4864" max="4864" width="5" style="1" customWidth="1"/>
    <col min="4865" max="4865" width="97.5703125" style="1" customWidth="1"/>
    <col min="4866" max="4866" width="24.140625" style="1" customWidth="1"/>
    <col min="4867" max="4867" width="17.28515625" style="1" customWidth="1"/>
    <col min="4868" max="4868" width="16.42578125" style="1" customWidth="1"/>
    <col min="4869" max="4869" width="40.140625" style="1" customWidth="1"/>
    <col min="4870" max="5119" width="9.140625" style="1"/>
    <col min="5120" max="5120" width="5" style="1" customWidth="1"/>
    <col min="5121" max="5121" width="97.5703125" style="1" customWidth="1"/>
    <col min="5122" max="5122" width="24.140625" style="1" customWidth="1"/>
    <col min="5123" max="5123" width="17.28515625" style="1" customWidth="1"/>
    <col min="5124" max="5124" width="16.42578125" style="1" customWidth="1"/>
    <col min="5125" max="5125" width="40.140625" style="1" customWidth="1"/>
    <col min="5126" max="5375" width="9.140625" style="1"/>
    <col min="5376" max="5376" width="5" style="1" customWidth="1"/>
    <col min="5377" max="5377" width="97.5703125" style="1" customWidth="1"/>
    <col min="5378" max="5378" width="24.140625" style="1" customWidth="1"/>
    <col min="5379" max="5379" width="17.28515625" style="1" customWidth="1"/>
    <col min="5380" max="5380" width="16.42578125" style="1" customWidth="1"/>
    <col min="5381" max="5381" width="40.140625" style="1" customWidth="1"/>
    <col min="5382" max="5631" width="9.140625" style="1"/>
    <col min="5632" max="5632" width="5" style="1" customWidth="1"/>
    <col min="5633" max="5633" width="97.5703125" style="1" customWidth="1"/>
    <col min="5634" max="5634" width="24.140625" style="1" customWidth="1"/>
    <col min="5635" max="5635" width="17.28515625" style="1" customWidth="1"/>
    <col min="5636" max="5636" width="16.42578125" style="1" customWidth="1"/>
    <col min="5637" max="5637" width="40.140625" style="1" customWidth="1"/>
    <col min="5638" max="5887" width="9.140625" style="1"/>
    <col min="5888" max="5888" width="5" style="1" customWidth="1"/>
    <col min="5889" max="5889" width="97.5703125" style="1" customWidth="1"/>
    <col min="5890" max="5890" width="24.140625" style="1" customWidth="1"/>
    <col min="5891" max="5891" width="17.28515625" style="1" customWidth="1"/>
    <col min="5892" max="5892" width="16.42578125" style="1" customWidth="1"/>
    <col min="5893" max="5893" width="40.140625" style="1" customWidth="1"/>
    <col min="5894" max="6143" width="9.140625" style="1"/>
    <col min="6144" max="6144" width="5" style="1" customWidth="1"/>
    <col min="6145" max="6145" width="97.5703125" style="1" customWidth="1"/>
    <col min="6146" max="6146" width="24.140625" style="1" customWidth="1"/>
    <col min="6147" max="6147" width="17.28515625" style="1" customWidth="1"/>
    <col min="6148" max="6148" width="16.42578125" style="1" customWidth="1"/>
    <col min="6149" max="6149" width="40.140625" style="1" customWidth="1"/>
    <col min="6150" max="6399" width="9.140625" style="1"/>
    <col min="6400" max="6400" width="5" style="1" customWidth="1"/>
    <col min="6401" max="6401" width="97.5703125" style="1" customWidth="1"/>
    <col min="6402" max="6402" width="24.140625" style="1" customWidth="1"/>
    <col min="6403" max="6403" width="17.28515625" style="1" customWidth="1"/>
    <col min="6404" max="6404" width="16.42578125" style="1" customWidth="1"/>
    <col min="6405" max="6405" width="40.140625" style="1" customWidth="1"/>
    <col min="6406" max="6655" width="9.140625" style="1"/>
    <col min="6656" max="6656" width="5" style="1" customWidth="1"/>
    <col min="6657" max="6657" width="97.5703125" style="1" customWidth="1"/>
    <col min="6658" max="6658" width="24.140625" style="1" customWidth="1"/>
    <col min="6659" max="6659" width="17.28515625" style="1" customWidth="1"/>
    <col min="6660" max="6660" width="16.42578125" style="1" customWidth="1"/>
    <col min="6661" max="6661" width="40.140625" style="1" customWidth="1"/>
    <col min="6662" max="6911" width="9.140625" style="1"/>
    <col min="6912" max="6912" width="5" style="1" customWidth="1"/>
    <col min="6913" max="6913" width="97.5703125" style="1" customWidth="1"/>
    <col min="6914" max="6914" width="24.140625" style="1" customWidth="1"/>
    <col min="6915" max="6915" width="17.28515625" style="1" customWidth="1"/>
    <col min="6916" max="6916" width="16.42578125" style="1" customWidth="1"/>
    <col min="6917" max="6917" width="40.140625" style="1" customWidth="1"/>
    <col min="6918" max="7167" width="9.140625" style="1"/>
    <col min="7168" max="7168" width="5" style="1" customWidth="1"/>
    <col min="7169" max="7169" width="97.5703125" style="1" customWidth="1"/>
    <col min="7170" max="7170" width="24.140625" style="1" customWidth="1"/>
    <col min="7171" max="7171" width="17.28515625" style="1" customWidth="1"/>
    <col min="7172" max="7172" width="16.42578125" style="1" customWidth="1"/>
    <col min="7173" max="7173" width="40.140625" style="1" customWidth="1"/>
    <col min="7174" max="7423" width="9.140625" style="1"/>
    <col min="7424" max="7424" width="5" style="1" customWidth="1"/>
    <col min="7425" max="7425" width="97.5703125" style="1" customWidth="1"/>
    <col min="7426" max="7426" width="24.140625" style="1" customWidth="1"/>
    <col min="7427" max="7427" width="17.28515625" style="1" customWidth="1"/>
    <col min="7428" max="7428" width="16.42578125" style="1" customWidth="1"/>
    <col min="7429" max="7429" width="40.140625" style="1" customWidth="1"/>
    <col min="7430" max="7679" width="9.140625" style="1"/>
    <col min="7680" max="7680" width="5" style="1" customWidth="1"/>
    <col min="7681" max="7681" width="97.5703125" style="1" customWidth="1"/>
    <col min="7682" max="7682" width="24.140625" style="1" customWidth="1"/>
    <col min="7683" max="7683" width="17.28515625" style="1" customWidth="1"/>
    <col min="7684" max="7684" width="16.42578125" style="1" customWidth="1"/>
    <col min="7685" max="7685" width="40.140625" style="1" customWidth="1"/>
    <col min="7686" max="7935" width="9.140625" style="1"/>
    <col min="7936" max="7936" width="5" style="1" customWidth="1"/>
    <col min="7937" max="7937" width="97.5703125" style="1" customWidth="1"/>
    <col min="7938" max="7938" width="24.140625" style="1" customWidth="1"/>
    <col min="7939" max="7939" width="17.28515625" style="1" customWidth="1"/>
    <col min="7940" max="7940" width="16.42578125" style="1" customWidth="1"/>
    <col min="7941" max="7941" width="40.140625" style="1" customWidth="1"/>
    <col min="7942" max="8191" width="9.140625" style="1"/>
    <col min="8192" max="8192" width="5" style="1" customWidth="1"/>
    <col min="8193" max="8193" width="97.5703125" style="1" customWidth="1"/>
    <col min="8194" max="8194" width="24.140625" style="1" customWidth="1"/>
    <col min="8195" max="8195" width="17.28515625" style="1" customWidth="1"/>
    <col min="8196" max="8196" width="16.42578125" style="1" customWidth="1"/>
    <col min="8197" max="8197" width="40.140625" style="1" customWidth="1"/>
    <col min="8198" max="8447" width="9.140625" style="1"/>
    <col min="8448" max="8448" width="5" style="1" customWidth="1"/>
    <col min="8449" max="8449" width="97.5703125" style="1" customWidth="1"/>
    <col min="8450" max="8450" width="24.140625" style="1" customWidth="1"/>
    <col min="8451" max="8451" width="17.28515625" style="1" customWidth="1"/>
    <col min="8452" max="8452" width="16.42578125" style="1" customWidth="1"/>
    <col min="8453" max="8453" width="40.140625" style="1" customWidth="1"/>
    <col min="8454" max="8703" width="9.140625" style="1"/>
    <col min="8704" max="8704" width="5" style="1" customWidth="1"/>
    <col min="8705" max="8705" width="97.5703125" style="1" customWidth="1"/>
    <col min="8706" max="8706" width="24.140625" style="1" customWidth="1"/>
    <col min="8707" max="8707" width="17.28515625" style="1" customWidth="1"/>
    <col min="8708" max="8708" width="16.42578125" style="1" customWidth="1"/>
    <col min="8709" max="8709" width="40.140625" style="1" customWidth="1"/>
    <col min="8710" max="8959" width="9.140625" style="1"/>
    <col min="8960" max="8960" width="5" style="1" customWidth="1"/>
    <col min="8961" max="8961" width="97.5703125" style="1" customWidth="1"/>
    <col min="8962" max="8962" width="24.140625" style="1" customWidth="1"/>
    <col min="8963" max="8963" width="17.28515625" style="1" customWidth="1"/>
    <col min="8964" max="8964" width="16.42578125" style="1" customWidth="1"/>
    <col min="8965" max="8965" width="40.140625" style="1" customWidth="1"/>
    <col min="8966" max="9215" width="9.140625" style="1"/>
    <col min="9216" max="9216" width="5" style="1" customWidth="1"/>
    <col min="9217" max="9217" width="97.5703125" style="1" customWidth="1"/>
    <col min="9218" max="9218" width="24.140625" style="1" customWidth="1"/>
    <col min="9219" max="9219" width="17.28515625" style="1" customWidth="1"/>
    <col min="9220" max="9220" width="16.42578125" style="1" customWidth="1"/>
    <col min="9221" max="9221" width="40.140625" style="1" customWidth="1"/>
    <col min="9222" max="9471" width="9.140625" style="1"/>
    <col min="9472" max="9472" width="5" style="1" customWidth="1"/>
    <col min="9473" max="9473" width="97.5703125" style="1" customWidth="1"/>
    <col min="9474" max="9474" width="24.140625" style="1" customWidth="1"/>
    <col min="9475" max="9475" width="17.28515625" style="1" customWidth="1"/>
    <col min="9476" max="9476" width="16.42578125" style="1" customWidth="1"/>
    <col min="9477" max="9477" width="40.140625" style="1" customWidth="1"/>
    <col min="9478" max="9727" width="9.140625" style="1"/>
    <col min="9728" max="9728" width="5" style="1" customWidth="1"/>
    <col min="9729" max="9729" width="97.5703125" style="1" customWidth="1"/>
    <col min="9730" max="9730" width="24.140625" style="1" customWidth="1"/>
    <col min="9731" max="9731" width="17.28515625" style="1" customWidth="1"/>
    <col min="9732" max="9732" width="16.42578125" style="1" customWidth="1"/>
    <col min="9733" max="9733" width="40.140625" style="1" customWidth="1"/>
    <col min="9734" max="9983" width="9.140625" style="1"/>
    <col min="9984" max="9984" width="5" style="1" customWidth="1"/>
    <col min="9985" max="9985" width="97.5703125" style="1" customWidth="1"/>
    <col min="9986" max="9986" width="24.140625" style="1" customWidth="1"/>
    <col min="9987" max="9987" width="17.28515625" style="1" customWidth="1"/>
    <col min="9988" max="9988" width="16.42578125" style="1" customWidth="1"/>
    <col min="9989" max="9989" width="40.140625" style="1" customWidth="1"/>
    <col min="9990" max="10239" width="9.140625" style="1"/>
    <col min="10240" max="10240" width="5" style="1" customWidth="1"/>
    <col min="10241" max="10241" width="97.5703125" style="1" customWidth="1"/>
    <col min="10242" max="10242" width="24.140625" style="1" customWidth="1"/>
    <col min="10243" max="10243" width="17.28515625" style="1" customWidth="1"/>
    <col min="10244" max="10244" width="16.42578125" style="1" customWidth="1"/>
    <col min="10245" max="10245" width="40.140625" style="1" customWidth="1"/>
    <col min="10246" max="10495" width="9.140625" style="1"/>
    <col min="10496" max="10496" width="5" style="1" customWidth="1"/>
    <col min="10497" max="10497" width="97.5703125" style="1" customWidth="1"/>
    <col min="10498" max="10498" width="24.140625" style="1" customWidth="1"/>
    <col min="10499" max="10499" width="17.28515625" style="1" customWidth="1"/>
    <col min="10500" max="10500" width="16.42578125" style="1" customWidth="1"/>
    <col min="10501" max="10501" width="40.140625" style="1" customWidth="1"/>
    <col min="10502" max="10751" width="9.140625" style="1"/>
    <col min="10752" max="10752" width="5" style="1" customWidth="1"/>
    <col min="10753" max="10753" width="97.5703125" style="1" customWidth="1"/>
    <col min="10754" max="10754" width="24.140625" style="1" customWidth="1"/>
    <col min="10755" max="10755" width="17.28515625" style="1" customWidth="1"/>
    <col min="10756" max="10756" width="16.42578125" style="1" customWidth="1"/>
    <col min="10757" max="10757" width="40.140625" style="1" customWidth="1"/>
    <col min="10758" max="11007" width="9.140625" style="1"/>
    <col min="11008" max="11008" width="5" style="1" customWidth="1"/>
    <col min="11009" max="11009" width="97.5703125" style="1" customWidth="1"/>
    <col min="11010" max="11010" width="24.140625" style="1" customWidth="1"/>
    <col min="11011" max="11011" width="17.28515625" style="1" customWidth="1"/>
    <col min="11012" max="11012" width="16.42578125" style="1" customWidth="1"/>
    <col min="11013" max="11013" width="40.140625" style="1" customWidth="1"/>
    <col min="11014" max="11263" width="9.140625" style="1"/>
    <col min="11264" max="11264" width="5" style="1" customWidth="1"/>
    <col min="11265" max="11265" width="97.5703125" style="1" customWidth="1"/>
    <col min="11266" max="11266" width="24.140625" style="1" customWidth="1"/>
    <col min="11267" max="11267" width="17.28515625" style="1" customWidth="1"/>
    <col min="11268" max="11268" width="16.42578125" style="1" customWidth="1"/>
    <col min="11269" max="11269" width="40.140625" style="1" customWidth="1"/>
    <col min="11270" max="11519" width="9.140625" style="1"/>
    <col min="11520" max="11520" width="5" style="1" customWidth="1"/>
    <col min="11521" max="11521" width="97.5703125" style="1" customWidth="1"/>
    <col min="11522" max="11522" width="24.140625" style="1" customWidth="1"/>
    <col min="11523" max="11523" width="17.28515625" style="1" customWidth="1"/>
    <col min="11524" max="11524" width="16.42578125" style="1" customWidth="1"/>
    <col min="11525" max="11525" width="40.140625" style="1" customWidth="1"/>
    <col min="11526" max="11775" width="9.140625" style="1"/>
    <col min="11776" max="11776" width="5" style="1" customWidth="1"/>
    <col min="11777" max="11777" width="97.5703125" style="1" customWidth="1"/>
    <col min="11778" max="11778" width="24.140625" style="1" customWidth="1"/>
    <col min="11779" max="11779" width="17.28515625" style="1" customWidth="1"/>
    <col min="11780" max="11780" width="16.42578125" style="1" customWidth="1"/>
    <col min="11781" max="11781" width="40.140625" style="1" customWidth="1"/>
    <col min="11782" max="12031" width="9.140625" style="1"/>
    <col min="12032" max="12032" width="5" style="1" customWidth="1"/>
    <col min="12033" max="12033" width="97.5703125" style="1" customWidth="1"/>
    <col min="12034" max="12034" width="24.140625" style="1" customWidth="1"/>
    <col min="12035" max="12035" width="17.28515625" style="1" customWidth="1"/>
    <col min="12036" max="12036" width="16.42578125" style="1" customWidth="1"/>
    <col min="12037" max="12037" width="40.140625" style="1" customWidth="1"/>
    <col min="12038" max="12287" width="9.140625" style="1"/>
    <col min="12288" max="12288" width="5" style="1" customWidth="1"/>
    <col min="12289" max="12289" width="97.5703125" style="1" customWidth="1"/>
    <col min="12290" max="12290" width="24.140625" style="1" customWidth="1"/>
    <col min="12291" max="12291" width="17.28515625" style="1" customWidth="1"/>
    <col min="12292" max="12292" width="16.42578125" style="1" customWidth="1"/>
    <col min="12293" max="12293" width="40.140625" style="1" customWidth="1"/>
    <col min="12294" max="12543" width="9.140625" style="1"/>
    <col min="12544" max="12544" width="5" style="1" customWidth="1"/>
    <col min="12545" max="12545" width="97.5703125" style="1" customWidth="1"/>
    <col min="12546" max="12546" width="24.140625" style="1" customWidth="1"/>
    <col min="12547" max="12547" width="17.28515625" style="1" customWidth="1"/>
    <col min="12548" max="12548" width="16.42578125" style="1" customWidth="1"/>
    <col min="12549" max="12549" width="40.140625" style="1" customWidth="1"/>
    <col min="12550" max="12799" width="9.140625" style="1"/>
    <col min="12800" max="12800" width="5" style="1" customWidth="1"/>
    <col min="12801" max="12801" width="97.5703125" style="1" customWidth="1"/>
    <col min="12802" max="12802" width="24.140625" style="1" customWidth="1"/>
    <col min="12803" max="12803" width="17.28515625" style="1" customWidth="1"/>
    <col min="12804" max="12804" width="16.42578125" style="1" customWidth="1"/>
    <col min="12805" max="12805" width="40.140625" style="1" customWidth="1"/>
    <col min="12806" max="13055" width="9.140625" style="1"/>
    <col min="13056" max="13056" width="5" style="1" customWidth="1"/>
    <col min="13057" max="13057" width="97.5703125" style="1" customWidth="1"/>
    <col min="13058" max="13058" width="24.140625" style="1" customWidth="1"/>
    <col min="13059" max="13059" width="17.28515625" style="1" customWidth="1"/>
    <col min="13060" max="13060" width="16.42578125" style="1" customWidth="1"/>
    <col min="13061" max="13061" width="40.140625" style="1" customWidth="1"/>
    <col min="13062" max="13311" width="9.140625" style="1"/>
    <col min="13312" max="13312" width="5" style="1" customWidth="1"/>
    <col min="13313" max="13313" width="97.5703125" style="1" customWidth="1"/>
    <col min="13314" max="13314" width="24.140625" style="1" customWidth="1"/>
    <col min="13315" max="13315" width="17.28515625" style="1" customWidth="1"/>
    <col min="13316" max="13316" width="16.42578125" style="1" customWidth="1"/>
    <col min="13317" max="13317" width="40.140625" style="1" customWidth="1"/>
    <col min="13318" max="13567" width="9.140625" style="1"/>
    <col min="13568" max="13568" width="5" style="1" customWidth="1"/>
    <col min="13569" max="13569" width="97.5703125" style="1" customWidth="1"/>
    <col min="13570" max="13570" width="24.140625" style="1" customWidth="1"/>
    <col min="13571" max="13571" width="17.28515625" style="1" customWidth="1"/>
    <col min="13572" max="13572" width="16.42578125" style="1" customWidth="1"/>
    <col min="13573" max="13573" width="40.140625" style="1" customWidth="1"/>
    <col min="13574" max="13823" width="9.140625" style="1"/>
    <col min="13824" max="13824" width="5" style="1" customWidth="1"/>
    <col min="13825" max="13825" width="97.5703125" style="1" customWidth="1"/>
    <col min="13826" max="13826" width="24.140625" style="1" customWidth="1"/>
    <col min="13827" max="13827" width="17.28515625" style="1" customWidth="1"/>
    <col min="13828" max="13828" width="16.42578125" style="1" customWidth="1"/>
    <col min="13829" max="13829" width="40.140625" style="1" customWidth="1"/>
    <col min="13830" max="14079" width="9.140625" style="1"/>
    <col min="14080" max="14080" width="5" style="1" customWidth="1"/>
    <col min="14081" max="14081" width="97.5703125" style="1" customWidth="1"/>
    <col min="14082" max="14082" width="24.140625" style="1" customWidth="1"/>
    <col min="14083" max="14083" width="17.28515625" style="1" customWidth="1"/>
    <col min="14084" max="14084" width="16.42578125" style="1" customWidth="1"/>
    <col min="14085" max="14085" width="40.140625" style="1" customWidth="1"/>
    <col min="14086" max="14335" width="9.140625" style="1"/>
    <col min="14336" max="14336" width="5" style="1" customWidth="1"/>
    <col min="14337" max="14337" width="97.5703125" style="1" customWidth="1"/>
    <col min="14338" max="14338" width="24.140625" style="1" customWidth="1"/>
    <col min="14339" max="14339" width="17.28515625" style="1" customWidth="1"/>
    <col min="14340" max="14340" width="16.42578125" style="1" customWidth="1"/>
    <col min="14341" max="14341" width="40.140625" style="1" customWidth="1"/>
    <col min="14342" max="14591" width="9.140625" style="1"/>
    <col min="14592" max="14592" width="5" style="1" customWidth="1"/>
    <col min="14593" max="14593" width="97.5703125" style="1" customWidth="1"/>
    <col min="14594" max="14594" width="24.140625" style="1" customWidth="1"/>
    <col min="14595" max="14595" width="17.28515625" style="1" customWidth="1"/>
    <col min="14596" max="14596" width="16.42578125" style="1" customWidth="1"/>
    <col min="14597" max="14597" width="40.140625" style="1" customWidth="1"/>
    <col min="14598" max="14847" width="9.140625" style="1"/>
    <col min="14848" max="14848" width="5" style="1" customWidth="1"/>
    <col min="14849" max="14849" width="97.5703125" style="1" customWidth="1"/>
    <col min="14850" max="14850" width="24.140625" style="1" customWidth="1"/>
    <col min="14851" max="14851" width="17.28515625" style="1" customWidth="1"/>
    <col min="14852" max="14852" width="16.42578125" style="1" customWidth="1"/>
    <col min="14853" max="14853" width="40.140625" style="1" customWidth="1"/>
    <col min="14854" max="15103" width="9.140625" style="1"/>
    <col min="15104" max="15104" width="5" style="1" customWidth="1"/>
    <col min="15105" max="15105" width="97.5703125" style="1" customWidth="1"/>
    <col min="15106" max="15106" width="24.140625" style="1" customWidth="1"/>
    <col min="15107" max="15107" width="17.28515625" style="1" customWidth="1"/>
    <col min="15108" max="15108" width="16.42578125" style="1" customWidth="1"/>
    <col min="15109" max="15109" width="40.140625" style="1" customWidth="1"/>
    <col min="15110" max="15359" width="9.140625" style="1"/>
    <col min="15360" max="15360" width="5" style="1" customWidth="1"/>
    <col min="15361" max="15361" width="97.5703125" style="1" customWidth="1"/>
    <col min="15362" max="15362" width="24.140625" style="1" customWidth="1"/>
    <col min="15363" max="15363" width="17.28515625" style="1" customWidth="1"/>
    <col min="15364" max="15364" width="16.42578125" style="1" customWidth="1"/>
    <col min="15365" max="15365" width="40.140625" style="1" customWidth="1"/>
    <col min="15366" max="15615" width="9.140625" style="1"/>
    <col min="15616" max="15616" width="5" style="1" customWidth="1"/>
    <col min="15617" max="15617" width="97.5703125" style="1" customWidth="1"/>
    <col min="15618" max="15618" width="24.140625" style="1" customWidth="1"/>
    <col min="15619" max="15619" width="17.28515625" style="1" customWidth="1"/>
    <col min="15620" max="15620" width="16.42578125" style="1" customWidth="1"/>
    <col min="15621" max="15621" width="40.140625" style="1" customWidth="1"/>
    <col min="15622" max="15871" width="9.140625" style="1"/>
    <col min="15872" max="15872" width="5" style="1" customWidth="1"/>
    <col min="15873" max="15873" width="97.5703125" style="1" customWidth="1"/>
    <col min="15874" max="15874" width="24.140625" style="1" customWidth="1"/>
    <col min="15875" max="15875" width="17.28515625" style="1" customWidth="1"/>
    <col min="15876" max="15876" width="16.42578125" style="1" customWidth="1"/>
    <col min="15877" max="15877" width="40.140625" style="1" customWidth="1"/>
    <col min="15878" max="16127" width="9.140625" style="1"/>
    <col min="16128" max="16128" width="5" style="1" customWidth="1"/>
    <col min="16129" max="16129" width="97.5703125" style="1" customWidth="1"/>
    <col min="16130" max="16130" width="24.140625" style="1" customWidth="1"/>
    <col min="16131" max="16131" width="17.28515625" style="1" customWidth="1"/>
    <col min="16132" max="16132" width="16.42578125" style="1" customWidth="1"/>
    <col min="16133" max="16133" width="40.140625" style="1" customWidth="1"/>
    <col min="16134" max="16384" width="9.140625" style="1"/>
  </cols>
  <sheetData>
    <row r="1" spans="1:7" ht="79.5" customHeight="1">
      <c r="C1" s="484" t="s">
        <v>445</v>
      </c>
      <c r="D1" s="484"/>
    </row>
    <row r="2" spans="1:7" ht="25.9" customHeight="1">
      <c r="A2" s="4"/>
      <c r="B2" s="485" t="s">
        <v>6</v>
      </c>
      <c r="C2" s="485"/>
      <c r="D2" s="486"/>
      <c r="E2" s="6"/>
      <c r="F2" s="6"/>
      <c r="G2" s="6"/>
    </row>
    <row r="3" spans="1:7" ht="36.6" customHeight="1">
      <c r="A3" s="4"/>
      <c r="B3" s="487" t="s">
        <v>40</v>
      </c>
      <c r="C3" s="487"/>
      <c r="D3" s="488"/>
      <c r="E3" s="6"/>
      <c r="F3" s="6"/>
      <c r="G3" s="6"/>
    </row>
    <row r="4" spans="1:7" ht="38.25">
      <c r="A4" s="31"/>
      <c r="B4" s="28" t="s">
        <v>7</v>
      </c>
      <c r="C4" s="28" t="s">
        <v>8</v>
      </c>
      <c r="D4" s="28" t="s">
        <v>9</v>
      </c>
      <c r="E4" s="6"/>
      <c r="F4" s="6"/>
      <c r="G4" s="6"/>
    </row>
    <row r="5" spans="1:7" ht="30.75" customHeight="1">
      <c r="A5" s="418">
        <v>1</v>
      </c>
      <c r="B5" s="448" t="s">
        <v>12</v>
      </c>
      <c r="C5" s="426" t="s">
        <v>10</v>
      </c>
      <c r="D5" s="449"/>
      <c r="E5"/>
      <c r="F5"/>
      <c r="G5"/>
    </row>
    <row r="6" spans="1:7" ht="47.25" customHeight="1">
      <c r="A6" s="418">
        <v>2</v>
      </c>
      <c r="B6" s="422" t="s">
        <v>482</v>
      </c>
      <c r="C6" s="426" t="s">
        <v>462</v>
      </c>
      <c r="D6" s="449"/>
      <c r="E6"/>
      <c r="F6"/>
      <c r="G6"/>
    </row>
    <row r="7" spans="1:7" ht="50.25" customHeight="1">
      <c r="A7" s="418">
        <v>3</v>
      </c>
      <c r="B7" s="450" t="s">
        <v>483</v>
      </c>
      <c r="C7" s="426" t="s">
        <v>13</v>
      </c>
      <c r="D7" s="449"/>
      <c r="E7"/>
      <c r="F7"/>
      <c r="G7"/>
    </row>
    <row r="8" spans="1:7" ht="36" customHeight="1">
      <c r="A8" s="418">
        <v>4</v>
      </c>
      <c r="B8" s="451" t="s">
        <v>484</v>
      </c>
      <c r="C8" s="426" t="s">
        <v>13</v>
      </c>
      <c r="D8" s="449"/>
      <c r="E8"/>
      <c r="F8"/>
      <c r="G8"/>
    </row>
    <row r="9" spans="1:7" ht="51.75" customHeight="1">
      <c r="A9" s="418">
        <v>5</v>
      </c>
      <c r="B9" s="438" t="s">
        <v>485</v>
      </c>
      <c r="C9" s="426" t="s">
        <v>13</v>
      </c>
      <c r="D9" s="449"/>
      <c r="E9"/>
      <c r="F9"/>
      <c r="G9"/>
    </row>
    <row r="10" spans="1:7" ht="66.75" customHeight="1">
      <c r="A10" s="418">
        <v>6</v>
      </c>
      <c r="B10" s="451" t="s">
        <v>486</v>
      </c>
      <c r="C10" s="426" t="s">
        <v>388</v>
      </c>
      <c r="D10" s="449"/>
      <c r="E10"/>
      <c r="F10"/>
      <c r="G10"/>
    </row>
    <row r="11" spans="1:7" ht="29.25" customHeight="1">
      <c r="A11" s="432"/>
      <c r="B11" s="452"/>
      <c r="C11" s="453"/>
      <c r="D11" s="454"/>
      <c r="E11"/>
      <c r="F11"/>
      <c r="G11"/>
    </row>
    <row r="12" spans="1:7" ht="15" customHeight="1">
      <c r="A12" s="431"/>
      <c r="B12" s="499" t="s">
        <v>234</v>
      </c>
      <c r="C12" s="499"/>
      <c r="D12" s="499"/>
      <c r="E12"/>
      <c r="F12"/>
      <c r="G12"/>
    </row>
    <row r="13" spans="1:7" ht="33.75" customHeight="1">
      <c r="A13" s="418">
        <v>6</v>
      </c>
      <c r="B13" s="455" t="s">
        <v>235</v>
      </c>
      <c r="C13" s="426" t="s">
        <v>10</v>
      </c>
      <c r="D13" s="449"/>
      <c r="E13"/>
      <c r="F13"/>
      <c r="G13"/>
    </row>
    <row r="14" spans="1:7" ht="46.5" customHeight="1">
      <c r="A14" s="427" t="s">
        <v>233</v>
      </c>
      <c r="B14" s="437" t="s">
        <v>475</v>
      </c>
      <c r="C14" s="451" t="s">
        <v>13</v>
      </c>
      <c r="D14" s="449"/>
      <c r="E14"/>
      <c r="F14"/>
      <c r="G14"/>
    </row>
    <row r="15" spans="1:7" ht="48.75" customHeight="1">
      <c r="A15" s="427" t="s">
        <v>239</v>
      </c>
      <c r="B15" s="422" t="s">
        <v>482</v>
      </c>
      <c r="C15" s="456" t="s">
        <v>462</v>
      </c>
      <c r="D15" s="449"/>
      <c r="E15"/>
      <c r="F15"/>
      <c r="G15"/>
    </row>
    <row r="16" spans="1:7" ht="16.5" customHeight="1">
      <c r="A16" s="457"/>
      <c r="B16" s="458"/>
      <c r="C16" s="459"/>
      <c r="D16" s="460"/>
      <c r="E16"/>
      <c r="F16"/>
      <c r="G16"/>
    </row>
    <row r="17" spans="1:7" ht="15" customHeight="1">
      <c r="A17" s="431"/>
      <c r="B17" s="494" t="s">
        <v>478</v>
      </c>
      <c r="C17" s="494"/>
      <c r="D17" s="494"/>
      <c r="E17"/>
      <c r="F17"/>
      <c r="G17"/>
    </row>
    <row r="18" spans="1:7" ht="15" customHeight="1">
      <c r="A18" s="443"/>
      <c r="B18" s="444"/>
      <c r="C18" s="444"/>
      <c r="D18" s="444"/>
      <c r="E18"/>
      <c r="F18"/>
      <c r="G18"/>
    </row>
    <row r="19" spans="1:7" ht="15" customHeight="1">
      <c r="A19" s="431"/>
      <c r="B19" s="495" t="s">
        <v>237</v>
      </c>
      <c r="C19" s="495"/>
      <c r="D19" s="495"/>
      <c r="E19"/>
      <c r="F19"/>
      <c r="G19"/>
    </row>
    <row r="20" spans="1:7" ht="105" customHeight="1">
      <c r="A20" s="445"/>
      <c r="B20" s="498" t="s">
        <v>487</v>
      </c>
      <c r="C20" s="498"/>
      <c r="D20" s="498"/>
      <c r="E20" s="446"/>
      <c r="F20"/>
      <c r="G20"/>
    </row>
    <row r="21" spans="1:7" ht="30.75" customHeight="1">
      <c r="A21" s="445"/>
      <c r="B21" s="497" t="s">
        <v>480</v>
      </c>
      <c r="C21" s="497"/>
      <c r="D21" s="497"/>
      <c r="E21" s="446"/>
      <c r="F21"/>
      <c r="G21"/>
    </row>
    <row r="22" spans="1:7" ht="33" customHeight="1">
      <c r="A22" s="447"/>
      <c r="B22" s="493" t="s">
        <v>488</v>
      </c>
      <c r="C22" s="493"/>
      <c r="D22" s="493"/>
      <c r="E22"/>
      <c r="F22"/>
      <c r="G22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</sheetData>
  <mergeCells count="9">
    <mergeCell ref="B20:D20"/>
    <mergeCell ref="B21:D21"/>
    <mergeCell ref="B22:D22"/>
    <mergeCell ref="C1:D1"/>
    <mergeCell ref="B2:D2"/>
    <mergeCell ref="B3:D3"/>
    <mergeCell ref="B12:D12"/>
    <mergeCell ref="B17:D17"/>
    <mergeCell ref="B19:D19"/>
  </mergeCells>
  <hyperlinks>
    <hyperlink ref="B5" location="Заявка!A1" display="Заявка на получение кредита"/>
    <hyperlink ref="B13" location="'Анкета поручителя'!A1" display="Анкета поручителя"/>
    <hyperlink ref="B19:D19" location="'Док-ты по залогодателю'!A1" display="Документы по залогодателю-третьему лицу"/>
    <hyperlink ref="B6" location="'Согласие ФЛ'!A1" display="Согласие руководителя заявителя* на получение банком в Национальном банке Республики Беларусь кредитного отчета, а также сведений об организации / о физическом лице из информационных ресурсов, находящихся в ведении Министерства внутренних дел Республики Б"/>
    <hyperlink ref="B15" location="'Согласие ФЛ'!A1" display="Согласие руководителя заявителя* на получение банком в Национальном банке Республики Беларусь кредитного отчета, а также сведений об организации / о физическом лице из информационных ресурсов, находящихся в ведении Министерства внутренних дел Республики Б"/>
  </hyperlinks>
  <pageMargins left="0.39370078740157483" right="0.39370078740157483" top="0.39370078740157483" bottom="0.39370078740157483" header="0.31496062992125984" footer="0.31496062992125984"/>
  <pageSetup paperSize="9" scale="64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123825</xdr:rowOff>
                  </from>
                  <to>
                    <xdr:col>3</xdr:col>
                    <xdr:colOff>371475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</xdr:row>
                    <xdr:rowOff>438150</xdr:rowOff>
                  </from>
                  <to>
                    <xdr:col>3</xdr:col>
                    <xdr:colOff>371475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28575</xdr:rowOff>
                  </from>
                  <to>
                    <xdr:col>3</xdr:col>
                    <xdr:colOff>371475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104775</xdr:rowOff>
                  </from>
                  <to>
                    <xdr:col>3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114300</xdr:rowOff>
                  </from>
                  <to>
                    <xdr:col>3</xdr:col>
                    <xdr:colOff>409575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95250</xdr:rowOff>
                  </from>
                  <to>
                    <xdr:col>3</xdr:col>
                    <xdr:colOff>361950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Check Box 9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161925</xdr:rowOff>
                  </from>
                  <to>
                    <xdr:col>3</xdr:col>
                    <xdr:colOff>371475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85725</xdr:rowOff>
                  </from>
                  <to>
                    <xdr:col>3</xdr:col>
                    <xdr:colOff>381000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Check Box 12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123825</xdr:rowOff>
                  </from>
                  <to>
                    <xdr:col>3</xdr:col>
                    <xdr:colOff>371475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3</xdr:row>
                    <xdr:rowOff>438150</xdr:rowOff>
                  </from>
                  <to>
                    <xdr:col>3</xdr:col>
                    <xdr:colOff>371475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28575</xdr:rowOff>
                  </from>
                  <to>
                    <xdr:col>3</xdr:col>
                    <xdr:colOff>371475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104775</xdr:rowOff>
                  </from>
                  <to>
                    <xdr:col>3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114300</xdr:rowOff>
                  </from>
                  <to>
                    <xdr:col>3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95250</xdr:rowOff>
                  </from>
                  <to>
                    <xdr:col>3</xdr:col>
                    <xdr:colOff>361950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Check Box 19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161925</xdr:rowOff>
                  </from>
                  <to>
                    <xdr:col>3</xdr:col>
                    <xdr:colOff>371475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Check Box 20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85725</xdr:rowOff>
                  </from>
                  <to>
                    <xdr:col>3</xdr:col>
                    <xdr:colOff>381000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Check Box 2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Check Box 22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0</xdr:rowOff>
                  </from>
                  <to>
                    <xdr:col>3</xdr:col>
                    <xdr:colOff>371475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Check Box 23">
              <controlPr defaultSize="0" autoFill="0" autoLine="0" autoPict="0">
                <anchor moveWithCells="1">
                  <from>
                    <xdr:col>3</xdr:col>
                    <xdr:colOff>66675</xdr:colOff>
                    <xdr:row>5</xdr:row>
                    <xdr:rowOff>123825</xdr:rowOff>
                  </from>
                  <to>
                    <xdr:col>3</xdr:col>
                    <xdr:colOff>371475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Check Box 24">
              <controlPr defaultSize="0" autoFill="0" autoLine="0" autoPict="0">
                <anchor moveWithCells="1">
                  <from>
                    <xdr:col>3</xdr:col>
                    <xdr:colOff>66675</xdr:colOff>
                    <xdr:row>3</xdr:row>
                    <xdr:rowOff>438150</xdr:rowOff>
                  </from>
                  <to>
                    <xdr:col>3</xdr:col>
                    <xdr:colOff>371475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Check Box 25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28575</xdr:rowOff>
                  </from>
                  <to>
                    <xdr:col>3</xdr:col>
                    <xdr:colOff>371475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104775</xdr:rowOff>
                  </from>
                  <to>
                    <xdr:col>3</xdr:col>
                    <xdr:colOff>361950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30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114300</xdr:rowOff>
                  </from>
                  <to>
                    <xdr:col>3</xdr:col>
                    <xdr:colOff>409575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1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95250</xdr:rowOff>
                  </from>
                  <to>
                    <xdr:col>3</xdr:col>
                    <xdr:colOff>361950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2" name="Check Box 29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161925</xdr:rowOff>
                  </from>
                  <to>
                    <xdr:col>3</xdr:col>
                    <xdr:colOff>371475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3" name="Check Box 30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85725</xdr:rowOff>
                  </from>
                  <to>
                    <xdr:col>3</xdr:col>
                    <xdr:colOff>381000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T144"/>
  <sheetViews>
    <sheetView view="pageBreakPreview" zoomScale="130" zoomScaleNormal="100" zoomScaleSheetLayoutView="130" workbookViewId="0">
      <selection activeCell="F86" sqref="F86"/>
    </sheetView>
  </sheetViews>
  <sheetFormatPr defaultRowHeight="15" outlineLevelRow="1"/>
  <cols>
    <col min="1" max="1" width="10" style="194" customWidth="1"/>
    <col min="2" max="2" width="6.7109375" style="194" customWidth="1"/>
    <col min="3" max="4" width="10" style="194" customWidth="1"/>
    <col min="5" max="5" width="10.140625" style="194" customWidth="1"/>
    <col min="6" max="6" width="12.28515625" style="194" customWidth="1"/>
    <col min="7" max="7" width="11" style="194" customWidth="1"/>
    <col min="8" max="8" width="7.140625" style="194" customWidth="1"/>
    <col min="9" max="9" width="8.28515625" style="194" customWidth="1"/>
    <col min="10" max="10" width="7.7109375" style="194" customWidth="1"/>
    <col min="11" max="11" width="10" style="194" customWidth="1"/>
    <col min="12" max="12" width="12.28515625" style="194" customWidth="1"/>
    <col min="13" max="13" width="17.5703125" style="194" customWidth="1"/>
    <col min="14" max="14" width="10.28515625" style="194" customWidth="1"/>
    <col min="15" max="15" width="17" style="194" customWidth="1"/>
    <col min="16" max="16" width="10.42578125" style="194" customWidth="1"/>
    <col min="17" max="17" width="15.7109375" style="194" bestFit="1" customWidth="1"/>
    <col min="18" max="18" width="9.140625" style="194"/>
    <col min="19" max="19" width="12.85546875" style="194" customWidth="1"/>
    <col min="20" max="16384" width="9.140625" style="194"/>
  </cols>
  <sheetData>
    <row r="1" spans="1:18" ht="77.25" customHeight="1">
      <c r="K1" s="484" t="s">
        <v>443</v>
      </c>
      <c r="L1" s="484"/>
      <c r="M1" s="484"/>
    </row>
    <row r="2" spans="1:18" ht="21">
      <c r="A2" s="609" t="s">
        <v>194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</row>
    <row r="3" spans="1:18" ht="19.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403" t="s">
        <v>442</v>
      </c>
      <c r="L3" s="402"/>
      <c r="M3" s="239"/>
      <c r="N3" s="196"/>
      <c r="O3" s="196"/>
      <c r="P3" s="626"/>
      <c r="Q3" s="626"/>
      <c r="R3" s="626"/>
    </row>
    <row r="4" spans="1:18" ht="30" customHeight="1">
      <c r="A4" s="575" t="s">
        <v>112</v>
      </c>
      <c r="B4" s="610"/>
      <c r="C4" s="198" t="s">
        <v>42</v>
      </c>
      <c r="D4" s="241"/>
      <c r="E4" s="198" t="s">
        <v>43</v>
      </c>
      <c r="F4" s="241"/>
      <c r="G4" s="198" t="s">
        <v>58</v>
      </c>
      <c r="H4" s="241"/>
      <c r="I4" s="240"/>
      <c r="J4" s="242"/>
      <c r="K4" s="242"/>
      <c r="L4" s="242"/>
      <c r="M4" s="243"/>
      <c r="N4" s="196"/>
      <c r="O4" s="196"/>
      <c r="P4" s="626"/>
      <c r="Q4" s="626"/>
      <c r="R4" s="626"/>
    </row>
    <row r="5" spans="1:18" ht="12.7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43"/>
      <c r="N5" s="196"/>
      <c r="O5" s="196"/>
      <c r="P5" s="626"/>
      <c r="Q5" s="626"/>
      <c r="R5" s="626"/>
    </row>
    <row r="6" spans="1:18" ht="27" customHeight="1">
      <c r="A6" s="510" t="s">
        <v>44</v>
      </c>
      <c r="B6" s="511"/>
      <c r="C6" s="511"/>
      <c r="D6" s="511"/>
      <c r="E6" s="614">
        <f>Заявка!J6</f>
        <v>0</v>
      </c>
      <c r="F6" s="608"/>
      <c r="G6" s="608"/>
      <c r="H6" s="608"/>
      <c r="I6" s="608"/>
      <c r="J6" s="608"/>
      <c r="K6" s="608"/>
      <c r="L6" s="608"/>
      <c r="M6" s="615"/>
      <c r="P6" s="626"/>
      <c r="Q6" s="626"/>
      <c r="R6" s="626"/>
    </row>
    <row r="7" spans="1:18" ht="12.75" customHeight="1">
      <c r="A7" s="195"/>
      <c r="B7" s="195"/>
      <c r="C7" s="195"/>
      <c r="D7" s="195"/>
      <c r="E7" s="200"/>
      <c r="F7" s="200"/>
      <c r="G7" s="200"/>
      <c r="H7" s="200"/>
      <c r="I7" s="200"/>
      <c r="J7" s="200"/>
      <c r="K7" s="200"/>
      <c r="L7" s="200"/>
      <c r="M7" s="200"/>
      <c r="P7" s="626"/>
      <c r="Q7" s="626"/>
      <c r="R7" s="626"/>
    </row>
    <row r="8" spans="1:18" ht="27" customHeight="1">
      <c r="A8" s="586" t="s">
        <v>211</v>
      </c>
      <c r="B8" s="586"/>
      <c r="C8" s="586"/>
      <c r="D8" s="586"/>
      <c r="E8" s="587">
        <f>Заявка!P17</f>
        <v>0</v>
      </c>
      <c r="F8" s="588"/>
      <c r="G8" s="588"/>
      <c r="H8" s="588"/>
      <c r="I8" s="588"/>
      <c r="J8" s="588"/>
      <c r="K8" s="588"/>
      <c r="L8" s="588"/>
      <c r="M8" s="588"/>
      <c r="P8" s="626"/>
      <c r="Q8" s="626"/>
      <c r="R8" s="626"/>
    </row>
    <row r="9" spans="1:18" ht="12.75" customHeight="1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199"/>
      <c r="N9" s="196"/>
      <c r="O9" s="196"/>
      <c r="P9" s="197"/>
      <c r="Q9" s="197"/>
      <c r="R9" s="197"/>
    </row>
    <row r="10" spans="1:18" ht="19.5" customHeight="1">
      <c r="A10" s="623" t="s">
        <v>177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5"/>
      <c r="P10" s="197"/>
      <c r="Q10" s="197"/>
      <c r="R10" s="197"/>
    </row>
    <row r="11" spans="1:18" ht="17.25" customHeight="1">
      <c r="A11" s="618" t="s">
        <v>55</v>
      </c>
      <c r="B11" s="618"/>
      <c r="C11" s="618"/>
      <c r="D11" s="617"/>
      <c r="E11" s="604">
        <f>Заявка!P8</f>
        <v>0</v>
      </c>
      <c r="F11" s="605"/>
      <c r="G11" s="605"/>
      <c r="H11" s="605"/>
      <c r="I11" s="605"/>
      <c r="J11" s="605"/>
      <c r="K11" s="605"/>
      <c r="L11" s="605"/>
      <c r="M11" s="605"/>
      <c r="N11" s="202"/>
      <c r="O11" s="196"/>
      <c r="P11" s="197"/>
      <c r="Q11" s="197"/>
      <c r="R11" s="197"/>
    </row>
    <row r="12" spans="1:18" ht="12.75" customHeight="1">
      <c r="A12" s="203"/>
      <c r="B12" s="204"/>
      <c r="C12" s="204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2" t="s">
        <v>215</v>
      </c>
      <c r="P12" s="197"/>
      <c r="Q12" s="197"/>
      <c r="R12" s="197"/>
    </row>
    <row r="13" spans="1:18" ht="17.25" customHeight="1">
      <c r="A13" s="599" t="s">
        <v>173</v>
      </c>
      <c r="B13" s="600"/>
      <c r="C13" s="600"/>
      <c r="D13" s="600"/>
      <c r="E13" s="627">
        <f>Заявка!P9</f>
        <v>0</v>
      </c>
      <c r="F13" s="596"/>
      <c r="G13" s="596"/>
      <c r="H13" s="596"/>
      <c r="I13" s="596"/>
      <c r="J13" s="596"/>
      <c r="K13" s="596"/>
      <c r="L13" s="596"/>
      <c r="M13" s="597"/>
      <c r="N13" s="202" t="b">
        <f>IF(G15="BYN",E15,IF(G15="USD",E15*D4,IF(G15="EUR",E15*F4,IF(G15="RUB",E15*H4))))</f>
        <v>0</v>
      </c>
      <c r="O13" s="196"/>
      <c r="P13" s="197"/>
      <c r="Q13" s="197"/>
      <c r="R13" s="197"/>
    </row>
    <row r="14" spans="1:18" ht="17.25" customHeight="1">
      <c r="A14" s="203"/>
      <c r="B14" s="204"/>
      <c r="C14" s="204"/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2" t="s">
        <v>213</v>
      </c>
      <c r="O14" s="196"/>
      <c r="P14" s="197"/>
      <c r="Q14" s="197"/>
      <c r="R14" s="197"/>
    </row>
    <row r="15" spans="1:18" ht="18.75" customHeight="1">
      <c r="A15" s="599" t="s">
        <v>178</v>
      </c>
      <c r="B15" s="600"/>
      <c r="C15" s="600"/>
      <c r="D15" s="606"/>
      <c r="E15" s="592">
        <f>Заявка!P10</f>
        <v>0</v>
      </c>
      <c r="F15" s="593"/>
      <c r="G15" s="592">
        <f>Заявка!P11</f>
        <v>0</v>
      </c>
      <c r="H15" s="593"/>
      <c r="I15" s="593"/>
      <c r="J15" s="593"/>
      <c r="K15" s="593"/>
      <c r="L15" s="593"/>
      <c r="M15" s="594"/>
      <c r="N15" s="202" t="str">
        <f>IF(OR(E11="Быстрое решение",E11="Подзарядка"),IF(G15="BYN",IF(AND(50000&gt;=I123,I123&gt;=3000),"соотв","не соотв"),IF(G15="USD",IF(AND(50000&gt;=I123*D4,I123*D4&gt;=3000),"соотв","не соотв"),IF(G15="EUR",IF(AND(50000&gt;=I123*F4,I123*F4&gt;=3000),"соотв","не соотв"),IF(G15="RUB",IF(AND(50000&gt;=I123*H4,I123*H4&gt;=3000),"соотв","не соотв"))))),"нет")</f>
        <v>нет</v>
      </c>
      <c r="P15" s="197"/>
      <c r="Q15" s="197"/>
      <c r="R15" s="197"/>
    </row>
    <row r="16" spans="1:18" ht="12.75" customHeight="1">
      <c r="A16" s="203"/>
      <c r="B16" s="204"/>
      <c r="C16" s="204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2" t="str">
        <f>IF(E11="Кредитный экспресс",IF(G15="BYN",IF(AND(40000&lt;=E15,E15&lt;=600000),"соотв","не соотв"),IF(G15="USD",IF(AND(40000&lt;=E15*D4,E15*D4&lt;=600000),"соотв","не соотв"),IF(G15="EUR",IF(AND(40000&lt;=E15*F4,E15*F4&lt;=600000),"соотв","не соотв"),IF(G15="RUB",IF(AND(40000&lt;=E15*H4,E15*H4&lt;=600000),"соотв","не соотв"))))),"нет")</f>
        <v>нет</v>
      </c>
      <c r="P16" s="197"/>
      <c r="Q16" s="197"/>
      <c r="R16" s="197"/>
    </row>
    <row r="17" spans="1:18" ht="17.25" customHeight="1">
      <c r="A17" s="599" t="s">
        <v>174</v>
      </c>
      <c r="B17" s="600"/>
      <c r="C17" s="600"/>
      <c r="D17" s="600"/>
      <c r="E17" s="598">
        <f>Заявка!P12</f>
        <v>0</v>
      </c>
      <c r="F17" s="596"/>
      <c r="G17" s="596"/>
      <c r="H17" s="596"/>
      <c r="I17" s="596"/>
      <c r="J17" s="596"/>
      <c r="K17" s="596"/>
      <c r="L17" s="596"/>
      <c r="M17" s="597"/>
      <c r="N17" s="202" t="str">
        <f>IF(E11="Так просто",IF(G15="BYN",IF(AND(3000&lt;=I123/D4,I123/D4&lt;=15000),"соотв","не соотв"),IF(G15="USD",IF(AND(3000&lt;=I123,I123&lt;=15000),"соотв","не соотв"),IF(G15="EUR",IF(AND(3000&lt;=I123*F4/D4,I123*F4/D4&lt;=15000),"соотв","не соотв"),IF(G15="RUB",IF(AND(3000&lt;=I123*H4/D4,I123*H4/D4&lt;=15000),"соотв","не соотв"))))),"нет")</f>
        <v>нет</v>
      </c>
      <c r="O17" s="196"/>
      <c r="P17" s="197"/>
      <c r="Q17" s="197"/>
      <c r="R17" s="197"/>
    </row>
    <row r="18" spans="1:18" ht="12.75" customHeight="1">
      <c r="A18" s="203"/>
      <c r="B18" s="204"/>
      <c r="C18" s="204"/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2" t="str">
        <f>IF(E11="Просто авто",IF(G15="BYN",IF(AND(5000&lt;=E15/D4,E15&lt;=435000),"соотв","не соотв"),IF(G15="USD",IF(AND(5000&lt;=E15,E15*D4&lt;=15000),"соотв","не соотв"),IF(G15="EUR",IF(AND(5000&lt;=E15*F4/D4,E15*F4&lt;=435000),"соотв","не соотв"),IF(G15="RUB",IF(AND(5000&lt;=E15*H4/D4,E15*H4&lt;=435000),"соотв","не соотв"))))),"нет")</f>
        <v>нет</v>
      </c>
      <c r="P18" s="197"/>
      <c r="Q18" s="197"/>
      <c r="R18" s="197"/>
    </row>
    <row r="19" spans="1:18" ht="17.25" customHeight="1">
      <c r="A19" s="599" t="s">
        <v>175</v>
      </c>
      <c r="B19" s="600"/>
      <c r="C19" s="600"/>
      <c r="D19" s="600"/>
      <c r="E19" s="598">
        <f>Заявка!P13</f>
        <v>0</v>
      </c>
      <c r="F19" s="596"/>
      <c r="G19" s="596"/>
      <c r="H19" s="596"/>
      <c r="I19" s="596"/>
      <c r="J19" s="596"/>
      <c r="K19" s="596"/>
      <c r="L19" s="596"/>
      <c r="M19" s="597"/>
      <c r="N19" s="206" t="str">
        <f>IF(OR(N15="соотв",N16="соотв",N17="соотв",N18="соотв"),"соотв","не соотв")</f>
        <v>не соотв</v>
      </c>
      <c r="O19" s="196"/>
      <c r="P19" s="197"/>
      <c r="Q19" s="197"/>
      <c r="R19" s="197"/>
    </row>
    <row r="20" spans="1:18" ht="12.75" customHeight="1">
      <c r="A20" s="203"/>
      <c r="B20" s="204"/>
      <c r="C20" s="204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6" t="str">
        <f>IF(AND(E11="Так просто",O20="мал"),"соотв","не соотв")</f>
        <v>не соотв</v>
      </c>
      <c r="O20" s="194" t="b">
        <f>IF(G15="BYN",IF(E15&lt;15000*D4,"мал","стандарт"),(IF(G15="USD",IF(E15&lt;15000,"мал","стандарт"),IF(G15="EUR",IF(E15*F4/D4&lt;15000,"мал","стандарт"),IF(G15="RUB",IF(E15*H4/D4&lt;15000,"мал","стандарт"))))))</f>
        <v>0</v>
      </c>
      <c r="P20" s="197"/>
      <c r="Q20" s="197"/>
      <c r="R20" s="197"/>
    </row>
    <row r="21" spans="1:18" ht="17.25" customHeight="1">
      <c r="A21" s="599" t="s">
        <v>176</v>
      </c>
      <c r="B21" s="600"/>
      <c r="C21" s="600"/>
      <c r="D21" s="606"/>
      <c r="E21" s="207">
        <f>Заявка!P14</f>
        <v>0</v>
      </c>
      <c r="F21" s="589" t="s">
        <v>1</v>
      </c>
      <c r="G21" s="590"/>
      <c r="H21" s="590"/>
      <c r="I21" s="590"/>
      <c r="J21" s="590"/>
      <c r="K21" s="590"/>
      <c r="L21" s="590"/>
      <c r="M21" s="591"/>
      <c r="N21" s="202" t="s">
        <v>212</v>
      </c>
      <c r="O21" s="196"/>
      <c r="P21" s="197"/>
      <c r="Q21" s="197"/>
      <c r="R21" s="197"/>
    </row>
    <row r="22" spans="1:18" ht="12.75" customHeight="1">
      <c r="A22" s="203"/>
      <c r="B22" s="204"/>
      <c r="C22" s="204"/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2"/>
      <c r="P22" s="197"/>
      <c r="Q22" s="208"/>
      <c r="R22" s="197"/>
    </row>
    <row r="23" spans="1:18" ht="17.25" customHeight="1">
      <c r="A23" s="599" t="str">
        <f>IF(OR('Приложение 3 - заключение'!E13="Овердрафт",'Приложение 3 - заключение'!E13="Возобновляемая кредитная линия"),"Срок транша:","Срок отсрочки:")</f>
        <v>Срок отсрочки:</v>
      </c>
      <c r="B23" s="600"/>
      <c r="C23" s="600"/>
      <c r="D23" s="606"/>
      <c r="E23" s="209">
        <f>Заявка!P15</f>
        <v>0</v>
      </c>
      <c r="F23" s="595" t="str">
        <f>Заявка!X15</f>
        <v>месяцев</v>
      </c>
      <c r="G23" s="596"/>
      <c r="H23" s="596"/>
      <c r="I23" s="596"/>
      <c r="J23" s="596"/>
      <c r="K23" s="596"/>
      <c r="L23" s="596"/>
      <c r="M23" s="597"/>
      <c r="N23" s="202"/>
      <c r="O23" s="196"/>
      <c r="P23" s="197"/>
      <c r="Q23" s="208"/>
      <c r="R23" s="197"/>
    </row>
    <row r="24" spans="1:18" ht="12.75" customHeight="1">
      <c r="A24" s="203"/>
      <c r="B24" s="204"/>
      <c r="C24" s="204"/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2"/>
      <c r="P24" s="197"/>
      <c r="Q24" s="197"/>
      <c r="R24" s="197"/>
    </row>
    <row r="25" spans="1:18" ht="17.25" customHeight="1">
      <c r="A25" s="617" t="s">
        <v>104</v>
      </c>
      <c r="B25" s="600"/>
      <c r="C25" s="600"/>
      <c r="D25" s="606"/>
      <c r="E25" s="468"/>
      <c r="F25" s="596" t="str">
        <f>IF(G15="BYN","% годовых (РВСР)","% годовых")</f>
        <v>% годовых</v>
      </c>
      <c r="G25" s="596"/>
      <c r="H25" s="596"/>
      <c r="I25" s="596"/>
      <c r="J25" s="596"/>
      <c r="K25" s="596"/>
      <c r="L25" s="596"/>
      <c r="M25" s="597"/>
      <c r="O25" s="196"/>
      <c r="P25" s="197"/>
      <c r="Q25" s="197"/>
      <c r="R25" s="197"/>
    </row>
    <row r="26" spans="1:18" ht="12.75" customHeight="1">
      <c r="A26" s="195"/>
      <c r="B26" s="195"/>
      <c r="C26" s="195"/>
      <c r="D26" s="195"/>
      <c r="E26" s="200"/>
      <c r="F26" s="200"/>
      <c r="G26" s="200"/>
      <c r="H26" s="200"/>
      <c r="I26" s="200"/>
      <c r="J26" s="200"/>
      <c r="K26" s="200"/>
      <c r="L26" s="200"/>
      <c r="M26" s="200"/>
      <c r="P26" s="197"/>
      <c r="Q26" s="197"/>
      <c r="R26" s="197"/>
    </row>
    <row r="27" spans="1:18" ht="18.75" customHeight="1">
      <c r="A27" s="510" t="s">
        <v>108</v>
      </c>
      <c r="B27" s="511"/>
      <c r="C27" s="511"/>
      <c r="D27" s="512"/>
      <c r="E27" s="611"/>
      <c r="F27" s="612"/>
      <c r="G27" s="612"/>
      <c r="H27" s="612"/>
      <c r="I27" s="612"/>
      <c r="J27" s="612"/>
      <c r="K27" s="612"/>
      <c r="L27" s="612"/>
      <c r="M27" s="613"/>
      <c r="P27" s="197"/>
      <c r="Q27" s="197"/>
      <c r="R27" s="197"/>
    </row>
    <row r="28" spans="1:18" ht="15" hidden="1" customHeight="1">
      <c r="A28" s="195"/>
      <c r="B28" s="195"/>
      <c r="C28" s="195"/>
      <c r="D28" s="195"/>
      <c r="E28" s="200"/>
      <c r="F28" s="200"/>
      <c r="G28" s="200"/>
      <c r="H28" s="200"/>
      <c r="I28" s="200"/>
      <c r="J28" s="200"/>
      <c r="K28" s="200"/>
      <c r="L28" s="200"/>
      <c r="M28" s="200"/>
      <c r="P28" s="197"/>
      <c r="Q28" s="197"/>
      <c r="R28" s="197"/>
    </row>
    <row r="29" spans="1:18" ht="31.5" customHeight="1">
      <c r="A29" s="510" t="s">
        <v>110</v>
      </c>
      <c r="B29" s="511"/>
      <c r="C29" s="511"/>
      <c r="D29" s="512"/>
      <c r="E29" s="616"/>
      <c r="F29" s="616"/>
      <c r="G29" s="616"/>
      <c r="H29" s="616"/>
      <c r="I29" s="616"/>
      <c r="J29" s="616"/>
      <c r="K29" s="616"/>
      <c r="L29" s="616"/>
      <c r="M29" s="616"/>
    </row>
    <row r="30" spans="1:18" hidden="1">
      <c r="A30" s="195"/>
      <c r="B30" s="195"/>
      <c r="C30" s="195"/>
      <c r="D30" s="195"/>
      <c r="E30" s="200"/>
      <c r="F30" s="200"/>
      <c r="G30" s="200"/>
      <c r="H30" s="200"/>
      <c r="I30" s="200"/>
      <c r="J30" s="200"/>
      <c r="K30" s="200"/>
      <c r="L30" s="200"/>
      <c r="M30" s="200"/>
    </row>
    <row r="31" spans="1:18" ht="27" customHeight="1">
      <c r="A31" s="510" t="s">
        <v>56</v>
      </c>
      <c r="B31" s="511"/>
      <c r="C31" s="511"/>
      <c r="D31" s="512"/>
      <c r="E31" s="607">
        <f>Заявка!B64</f>
        <v>0</v>
      </c>
      <c r="F31" s="608"/>
      <c r="G31" s="608"/>
      <c r="H31" s="608"/>
      <c r="I31" s="608"/>
      <c r="J31" s="608"/>
      <c r="K31" s="608"/>
      <c r="L31" s="608"/>
      <c r="M31" s="608"/>
    </row>
    <row r="32" spans="1:18" ht="12.75" hidden="1" customHeight="1">
      <c r="A32" s="195"/>
      <c r="B32" s="195"/>
      <c r="C32" s="195"/>
      <c r="D32" s="195"/>
      <c r="E32" s="200"/>
      <c r="F32" s="200"/>
      <c r="G32" s="200"/>
      <c r="H32" s="200"/>
      <c r="I32" s="200"/>
      <c r="J32" s="200"/>
      <c r="K32" s="200"/>
      <c r="L32" s="200"/>
      <c r="M32" s="200"/>
    </row>
    <row r="33" spans="1:20" ht="26.25" customHeight="1">
      <c r="A33" s="510" t="s">
        <v>109</v>
      </c>
      <c r="B33" s="511"/>
      <c r="C33" s="511"/>
      <c r="D33" s="512"/>
      <c r="E33" s="616"/>
      <c r="F33" s="616"/>
      <c r="G33" s="616"/>
      <c r="H33" s="616"/>
      <c r="I33" s="616"/>
      <c r="J33" s="616"/>
      <c r="K33" s="616"/>
      <c r="L33" s="616"/>
      <c r="M33" s="616"/>
    </row>
    <row r="34" spans="1:20" hidden="1">
      <c r="A34" s="195"/>
      <c r="B34" s="195"/>
      <c r="C34" s="195"/>
      <c r="D34" s="195"/>
      <c r="E34" s="200"/>
      <c r="F34" s="200"/>
      <c r="G34" s="200"/>
      <c r="H34" s="200"/>
      <c r="I34" s="200"/>
      <c r="J34" s="200"/>
      <c r="K34" s="200"/>
      <c r="L34" s="200"/>
      <c r="M34" s="200"/>
    </row>
    <row r="35" spans="1:20" ht="31.5" customHeight="1">
      <c r="A35" s="510" t="s">
        <v>111</v>
      </c>
      <c r="B35" s="511"/>
      <c r="C35" s="511"/>
      <c r="D35" s="512"/>
      <c r="E35" s="616"/>
      <c r="F35" s="616"/>
      <c r="G35" s="616"/>
      <c r="H35" s="616"/>
      <c r="I35" s="616"/>
      <c r="J35" s="616"/>
      <c r="K35" s="616"/>
      <c r="L35" s="616"/>
      <c r="M35" s="616"/>
      <c r="N35" s="210" t="str">
        <f>IF(AND(E27="подтверждена",E29="кредитонадежен",E33="подтверждена",E35="кредитонадежен"),"соотв","не соотв")</f>
        <v>не соотв</v>
      </c>
    </row>
    <row r="36" spans="1:20" ht="27" customHeight="1">
      <c r="A36" s="510" t="s">
        <v>56</v>
      </c>
      <c r="B36" s="511"/>
      <c r="C36" s="511"/>
      <c r="D36" s="512"/>
      <c r="E36" s="607">
        <f>Заявка!B69</f>
        <v>0</v>
      </c>
      <c r="F36" s="608"/>
      <c r="G36" s="608"/>
      <c r="H36" s="608"/>
      <c r="I36" s="608"/>
      <c r="J36" s="608"/>
      <c r="K36" s="608"/>
      <c r="L36" s="608"/>
      <c r="M36" s="608"/>
    </row>
    <row r="37" spans="1:20" ht="12.75" hidden="1" customHeight="1">
      <c r="A37" s="195"/>
      <c r="B37" s="195"/>
      <c r="C37" s="195"/>
      <c r="D37" s="195"/>
      <c r="E37" s="200"/>
      <c r="F37" s="200"/>
      <c r="G37" s="200"/>
      <c r="H37" s="200"/>
      <c r="I37" s="200"/>
      <c r="J37" s="200"/>
      <c r="K37" s="200"/>
      <c r="L37" s="200"/>
      <c r="M37" s="200"/>
    </row>
    <row r="38" spans="1:20" ht="26.25" customHeight="1">
      <c r="A38" s="510" t="s">
        <v>109</v>
      </c>
      <c r="B38" s="511"/>
      <c r="C38" s="511"/>
      <c r="D38" s="512"/>
      <c r="E38" s="616"/>
      <c r="F38" s="616"/>
      <c r="G38" s="616"/>
      <c r="H38" s="616"/>
      <c r="I38" s="616"/>
      <c r="J38" s="616"/>
      <c r="K38" s="616"/>
      <c r="L38" s="616"/>
      <c r="M38" s="616"/>
    </row>
    <row r="39" spans="1:20" hidden="1">
      <c r="A39" s="195"/>
      <c r="B39" s="195"/>
      <c r="C39" s="195"/>
      <c r="D39" s="195"/>
      <c r="E39" s="200"/>
      <c r="F39" s="200"/>
      <c r="G39" s="200"/>
      <c r="H39" s="200"/>
      <c r="I39" s="200"/>
      <c r="J39" s="200"/>
      <c r="K39" s="200"/>
      <c r="L39" s="200"/>
      <c r="M39" s="200"/>
    </row>
    <row r="40" spans="1:20" ht="31.5" customHeight="1">
      <c r="A40" s="510" t="s">
        <v>111</v>
      </c>
      <c r="B40" s="511"/>
      <c r="C40" s="511"/>
      <c r="D40" s="512"/>
      <c r="E40" s="616"/>
      <c r="F40" s="616"/>
      <c r="G40" s="616"/>
      <c r="H40" s="616"/>
      <c r="I40" s="616"/>
      <c r="J40" s="616"/>
      <c r="K40" s="616"/>
      <c r="L40" s="616"/>
      <c r="M40" s="616"/>
      <c r="N40" s="210"/>
    </row>
    <row r="41" spans="1:20" hidden="1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</row>
    <row r="42" spans="1:20" hidden="1" outlineLevel="1">
      <c r="A42" s="401" t="s">
        <v>440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</row>
    <row r="43" spans="1:20" ht="27.75" hidden="1" customHeight="1" outlineLevel="1">
      <c r="A43" s="553" t="s">
        <v>54</v>
      </c>
      <c r="B43" s="554"/>
      <c r="C43" s="554"/>
      <c r="D43" s="554"/>
      <c r="E43" s="554"/>
      <c r="F43" s="555"/>
      <c r="G43" s="532" t="s">
        <v>59</v>
      </c>
      <c r="H43" s="532"/>
      <c r="I43" s="579"/>
      <c r="J43" s="579"/>
      <c r="K43" s="579"/>
      <c r="L43" s="580"/>
      <c r="M43" s="579"/>
      <c r="P43" s="395"/>
      <c r="Q43" s="395"/>
      <c r="R43" s="395"/>
    </row>
    <row r="44" spans="1:20" ht="24.75" hidden="1" customHeight="1" outlineLevel="1">
      <c r="A44" s="527" t="s">
        <v>437</v>
      </c>
      <c r="B44" s="528"/>
      <c r="C44" s="394" t="s">
        <v>45</v>
      </c>
      <c r="D44" s="394" t="s">
        <v>46</v>
      </c>
      <c r="E44" s="397" t="s">
        <v>47</v>
      </c>
      <c r="F44" s="397" t="s">
        <v>57</v>
      </c>
      <c r="G44" s="532"/>
      <c r="H44" s="532"/>
      <c r="I44" s="216"/>
      <c r="J44" s="216"/>
      <c r="K44" s="216"/>
      <c r="L44" s="580"/>
      <c r="M44" s="581"/>
      <c r="P44" s="395"/>
      <c r="Q44" s="395"/>
      <c r="R44" s="395"/>
    </row>
    <row r="45" spans="1:20" ht="30" hidden="1" customHeight="1" outlineLevel="1">
      <c r="A45" s="529" t="s">
        <v>436</v>
      </c>
      <c r="B45" s="530"/>
      <c r="C45" s="414">
        <f>'поступл.на счет бел'!AA1/1000</f>
        <v>0</v>
      </c>
      <c r="D45" s="414">
        <f>IF(G15="BYN",'поступл на счет долл'!AA1/1000,'поступл на счет долл'!AC1/1000)</f>
        <v>0</v>
      </c>
      <c r="E45" s="414">
        <f>IF(G15="BYN",'поступл на счет евро'!AA1/1000,'поступл на счет евро'!AC1/1000)</f>
        <v>0</v>
      </c>
      <c r="F45" s="415">
        <f>IF(G15="BYN",'поступл на счет росс'!AA1/1000,'поступл на счет росс'!AC1/1000)</f>
        <v>0</v>
      </c>
      <c r="G45" s="582" t="b">
        <f>IF($L$46="BYN",C45+D45+E45+F45,IF($L$46="USD",C45/$D$4+D45+E45*$F$4/$D$4+F45*$H$4/$D$4,IF($L$46="EUR",C45/$F$4+D45*$D$4/$F$4+E45+F45*$H$4/$F$4,IF(L46="RUB",C45/$H$4+D45*$D$4/$H$4+E45*$F$4/$H$4+F45))))</f>
        <v>0</v>
      </c>
      <c r="H45" s="582"/>
      <c r="I45" s="217"/>
      <c r="J45" s="217"/>
      <c r="K45" s="217"/>
      <c r="L45" s="217"/>
      <c r="M45" s="218"/>
      <c r="N45" s="212"/>
      <c r="P45" s="395"/>
      <c r="Q45" s="395"/>
      <c r="R45" s="395"/>
    </row>
    <row r="46" spans="1:20" ht="33.75" hidden="1" customHeight="1" outlineLevel="1">
      <c r="A46" s="536" t="s">
        <v>423</v>
      </c>
      <c r="B46" s="537"/>
      <c r="C46" s="537"/>
      <c r="D46" s="537"/>
      <c r="E46" s="537"/>
      <c r="F46" s="537"/>
      <c r="G46" s="537"/>
      <c r="H46" s="538"/>
      <c r="I46" s="539">
        <f>G45/12*1000</f>
        <v>0</v>
      </c>
      <c r="J46" s="540"/>
      <c r="K46" s="541"/>
      <c r="L46" s="577">
        <f>G15</f>
        <v>0</v>
      </c>
      <c r="M46" s="578"/>
      <c r="N46" s="212"/>
      <c r="P46" s="535"/>
      <c r="Q46" s="535"/>
      <c r="R46" s="535"/>
    </row>
    <row r="47" spans="1:20" ht="45.75" hidden="1" customHeight="1" outlineLevel="1">
      <c r="A47" s="536" t="s">
        <v>424</v>
      </c>
      <c r="B47" s="537"/>
      <c r="C47" s="537"/>
      <c r="D47" s="537"/>
      <c r="E47" s="537"/>
      <c r="F47" s="537"/>
      <c r="G47" s="537"/>
      <c r="H47" s="538"/>
      <c r="I47" s="539">
        <f>ROUND(I46*0.3,2)</f>
        <v>0</v>
      </c>
      <c r="J47" s="540"/>
      <c r="K47" s="541"/>
      <c r="L47" s="542">
        <f>L46</f>
        <v>0</v>
      </c>
      <c r="M47" s="543"/>
      <c r="N47" s="213"/>
      <c r="P47" s="535"/>
      <c r="Q47" s="535"/>
      <c r="R47" s="535"/>
    </row>
    <row r="48" spans="1:20" ht="30.75" hidden="1" customHeight="1" outlineLevel="1">
      <c r="A48" s="215" t="s">
        <v>216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388" t="s">
        <v>419</v>
      </c>
      <c r="P48" s="359"/>
      <c r="Q48" s="359"/>
      <c r="R48" s="359"/>
      <c r="S48" s="359"/>
      <c r="T48" s="202"/>
    </row>
    <row r="49" spans="1:20" ht="30.75" hidden="1" customHeight="1" outlineLevel="1">
      <c r="A49" s="603" t="s">
        <v>425</v>
      </c>
      <c r="B49" s="603"/>
      <c r="C49" s="603"/>
      <c r="D49" s="603"/>
      <c r="E49" s="603"/>
      <c r="F49" s="219" t="e">
        <f>($N$123+$F$50)/AVERAGE(Заявка!$G$36:$K$47)</f>
        <v>#DIV/0!</v>
      </c>
      <c r="G49" s="533" t="s">
        <v>180</v>
      </c>
      <c r="H49" s="533"/>
      <c r="I49" s="533"/>
      <c r="J49" s="533"/>
      <c r="K49" s="534" t="e">
        <f>IF(F49&lt;=2,"выполняется","не выполняется")</f>
        <v>#DIV/0!</v>
      </c>
      <c r="L49" s="534"/>
      <c r="M49" s="387" t="s">
        <v>422</v>
      </c>
      <c r="N49" s="210" t="e">
        <f>IF(K49="выполняется","соотв","не соотв")</f>
        <v>#DIV/0!</v>
      </c>
      <c r="P49" s="506"/>
      <c r="Q49" s="506"/>
      <c r="R49" s="506"/>
      <c r="S49" s="224"/>
      <c r="T49" s="202"/>
    </row>
    <row r="50" spans="1:20" ht="45.75" hidden="1" customHeight="1" outlineLevel="1">
      <c r="A50" s="601" t="s">
        <v>426</v>
      </c>
      <c r="B50" s="601"/>
      <c r="C50" s="601"/>
      <c r="D50" s="601"/>
      <c r="E50" s="602"/>
      <c r="F50" s="362"/>
      <c r="G50" s="195"/>
      <c r="H50" s="195"/>
      <c r="I50" s="195"/>
      <c r="J50" s="195"/>
      <c r="K50" s="195"/>
      <c r="L50" s="195"/>
      <c r="M50" s="195"/>
      <c r="P50" s="506"/>
      <c r="Q50" s="506"/>
      <c r="R50" s="506"/>
      <c r="S50" s="225"/>
      <c r="T50" s="202"/>
    </row>
    <row r="51" spans="1:20" ht="19.5" hidden="1" customHeight="1" collapsed="1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P51" s="202"/>
      <c r="Q51" s="202"/>
      <c r="R51" s="202"/>
      <c r="S51" s="202"/>
      <c r="T51" s="202"/>
    </row>
    <row r="52" spans="1:20" hidden="1" outlineLevel="1">
      <c r="A52" s="401" t="s">
        <v>441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</row>
    <row r="53" spans="1:20" ht="27.75" hidden="1" customHeight="1" outlineLevel="1">
      <c r="A53" s="553" t="s">
        <v>54</v>
      </c>
      <c r="B53" s="554"/>
      <c r="C53" s="554"/>
      <c r="D53" s="554"/>
      <c r="E53" s="554"/>
      <c r="F53" s="555"/>
      <c r="G53" s="532" t="s">
        <v>59</v>
      </c>
      <c r="H53" s="532"/>
      <c r="I53" s="579"/>
      <c r="J53" s="579"/>
      <c r="K53" s="579"/>
      <c r="L53" s="580"/>
      <c r="M53" s="579"/>
      <c r="P53" s="395"/>
      <c r="Q53" s="395"/>
      <c r="R53" s="395"/>
    </row>
    <row r="54" spans="1:20" ht="24.75" hidden="1" customHeight="1" outlineLevel="1">
      <c r="A54" s="527" t="s">
        <v>437</v>
      </c>
      <c r="B54" s="528"/>
      <c r="C54" s="394" t="s">
        <v>45</v>
      </c>
      <c r="D54" s="394" t="s">
        <v>46</v>
      </c>
      <c r="E54" s="397" t="s">
        <v>47</v>
      </c>
      <c r="F54" s="397" t="s">
        <v>57</v>
      </c>
      <c r="G54" s="532"/>
      <c r="H54" s="532"/>
      <c r="I54" s="216"/>
      <c r="J54" s="216"/>
      <c r="K54" s="216"/>
      <c r="L54" s="580"/>
      <c r="M54" s="581"/>
      <c r="P54" s="395"/>
      <c r="Q54" s="395"/>
      <c r="R54" s="395"/>
    </row>
    <row r="55" spans="1:20" ht="30" hidden="1" customHeight="1" outlineLevel="1">
      <c r="A55" s="529" t="s">
        <v>436</v>
      </c>
      <c r="B55" s="530"/>
      <c r="C55" s="360"/>
      <c r="D55" s="360"/>
      <c r="E55" s="360"/>
      <c r="F55" s="361"/>
      <c r="G55" s="544" t="b">
        <f>IF($L$46="BYN",C55+D55*$D$4+E55*$F$4+F55*$H$4,IF($L$46="USD",C55/$D$4+D55+E55*$F$4/$D$4+F55*$H$4/$D$4,IF($L$46="EUR",C55/$F$4+D55*$D$4/$F$4+E55+F55*$H$4/$F$4,IF(L56="RUB",C55/$H$4+D55*$D$4/$H$4+E55*$F$4/$H$4+F55))))</f>
        <v>0</v>
      </c>
      <c r="H55" s="544"/>
      <c r="I55" s="217"/>
      <c r="J55" s="217"/>
      <c r="K55" s="217"/>
      <c r="L55" s="217"/>
      <c r="M55" s="218"/>
      <c r="N55" s="212"/>
      <c r="P55" s="395"/>
      <c r="Q55" s="395"/>
      <c r="R55" s="395"/>
    </row>
    <row r="56" spans="1:20" ht="44.25" hidden="1" customHeight="1" outlineLevel="1">
      <c r="A56" s="536" t="s">
        <v>423</v>
      </c>
      <c r="B56" s="537"/>
      <c r="C56" s="537"/>
      <c r="D56" s="537"/>
      <c r="E56" s="537"/>
      <c r="F56" s="537"/>
      <c r="G56" s="537"/>
      <c r="H56" s="538"/>
      <c r="I56" s="539">
        <f>G55/12*1000</f>
        <v>0</v>
      </c>
      <c r="J56" s="540"/>
      <c r="K56" s="541"/>
      <c r="L56" s="577">
        <f>G26</f>
        <v>0</v>
      </c>
      <c r="M56" s="578"/>
      <c r="N56" s="212"/>
      <c r="P56" s="535"/>
      <c r="Q56" s="535"/>
      <c r="R56" s="535"/>
    </row>
    <row r="57" spans="1:20" ht="45.75" hidden="1" customHeight="1" outlineLevel="1">
      <c r="A57" s="536" t="s">
        <v>424</v>
      </c>
      <c r="B57" s="537"/>
      <c r="C57" s="537"/>
      <c r="D57" s="537"/>
      <c r="E57" s="537"/>
      <c r="F57" s="537"/>
      <c r="G57" s="537"/>
      <c r="H57" s="538"/>
      <c r="I57" s="539">
        <f>ROUND(I56*0.3,2)</f>
        <v>0</v>
      </c>
      <c r="J57" s="540"/>
      <c r="K57" s="541"/>
      <c r="L57" s="542">
        <f>L56</f>
        <v>0</v>
      </c>
      <c r="M57" s="543"/>
      <c r="N57" s="213"/>
      <c r="P57" s="535"/>
      <c r="Q57" s="535"/>
      <c r="R57" s="535"/>
    </row>
    <row r="58" spans="1:20" ht="19.5" customHeight="1" collapsed="1">
      <c r="A58" s="393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P58" s="202"/>
      <c r="Q58" s="202"/>
      <c r="R58" s="202"/>
      <c r="S58" s="202"/>
      <c r="T58" s="202"/>
    </row>
    <row r="59" spans="1:20" outlineLevel="1">
      <c r="A59" s="211" t="s">
        <v>189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P59" s="202"/>
      <c r="Q59" s="202"/>
      <c r="R59" s="202"/>
      <c r="S59" s="202"/>
      <c r="T59" s="202"/>
    </row>
    <row r="60" spans="1:20" ht="33.75" customHeight="1" outlineLevel="1">
      <c r="A60" s="215" t="s">
        <v>216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388" t="s">
        <v>419</v>
      </c>
      <c r="P60" s="531"/>
      <c r="Q60" s="531"/>
      <c r="R60" s="531"/>
      <c r="S60" s="531"/>
      <c r="T60" s="202"/>
    </row>
    <row r="61" spans="1:20" ht="21" customHeight="1" outlineLevel="1">
      <c r="A61" s="532" t="s">
        <v>428</v>
      </c>
      <c r="B61" s="532"/>
      <c r="C61" s="532"/>
      <c r="D61" s="532"/>
      <c r="E61" s="532"/>
      <c r="F61" s="220">
        <f>IF(Заявка!$Q$37=0,0,Заявка!$Q$37/Заявка!$Q$36)</f>
        <v>0</v>
      </c>
      <c r="G61" s="533" t="s">
        <v>180</v>
      </c>
      <c r="H61" s="533"/>
      <c r="I61" s="533"/>
      <c r="J61" s="533"/>
      <c r="K61" s="534" t="e">
        <f>IF(Заявка!$Q$36&gt;AVERAGE(Заявка!$G$36:$G$47),IF(F61&lt;=30%,"выполняется","не выполняется"),"не рассчитывается")</f>
        <v>#DIV/0!</v>
      </c>
      <c r="L61" s="534"/>
      <c r="M61" s="387" t="s">
        <v>446</v>
      </c>
      <c r="P61" s="352"/>
      <c r="Q61" s="352"/>
      <c r="R61" s="352"/>
      <c r="S61" s="352"/>
      <c r="T61" s="202"/>
    </row>
    <row r="62" spans="1:20" ht="31.5" customHeight="1" outlineLevel="1">
      <c r="A62" s="532" t="s">
        <v>191</v>
      </c>
      <c r="B62" s="532"/>
      <c r="C62" s="532"/>
      <c r="D62" s="532"/>
      <c r="E62" s="532"/>
      <c r="F62" s="219" t="e">
        <f>ROUND(Заявка!$Q$36/AVERAGE(Заявка!$G$36:$G$47),2)</f>
        <v>#DIV/0!</v>
      </c>
      <c r="G62" s="533" t="s">
        <v>180</v>
      </c>
      <c r="H62" s="533"/>
      <c r="I62" s="533"/>
      <c r="J62" s="533"/>
      <c r="K62" s="534" t="e">
        <f>IF(F62&lt;=3,"выполняется","не выполняется")</f>
        <v>#DIV/0!</v>
      </c>
      <c r="L62" s="534"/>
      <c r="M62" s="387" t="s">
        <v>420</v>
      </c>
      <c r="P62" s="352"/>
      <c r="Q62" s="352"/>
      <c r="R62" s="352"/>
      <c r="S62" s="352"/>
      <c r="T62" s="202"/>
    </row>
    <row r="63" spans="1:20" ht="31.5" customHeight="1" outlineLevel="1">
      <c r="A63" s="532" t="s">
        <v>427</v>
      </c>
      <c r="B63" s="532"/>
      <c r="C63" s="532"/>
      <c r="D63" s="532"/>
      <c r="E63" s="532"/>
      <c r="F63" s="220">
        <f>IF(Заявка!$Q$39=0,0,Заявка!$Q$39/Заявка!$Q$38)</f>
        <v>0</v>
      </c>
      <c r="G63" s="533" t="s">
        <v>180</v>
      </c>
      <c r="H63" s="533"/>
      <c r="I63" s="533"/>
      <c r="J63" s="533"/>
      <c r="K63" s="534" t="str">
        <f>IF(F63=0%,"выполняется","не выполняется")</f>
        <v>выполняется</v>
      </c>
      <c r="L63" s="534"/>
      <c r="M63" s="389">
        <v>0</v>
      </c>
      <c r="P63" s="352"/>
      <c r="Q63" s="352"/>
      <c r="R63" s="352"/>
      <c r="S63" s="352"/>
      <c r="T63" s="202"/>
    </row>
    <row r="64" spans="1:20" ht="31.5" customHeight="1" outlineLevel="1">
      <c r="A64" s="532" t="s">
        <v>193</v>
      </c>
      <c r="B64" s="532"/>
      <c r="C64" s="532"/>
      <c r="D64" s="532"/>
      <c r="E64" s="532"/>
      <c r="F64" s="219" t="e">
        <f>ROUND(Заявка!$Q$38/AVERAGE(Заявка!$G$36:$G$47),2)</f>
        <v>#DIV/0!</v>
      </c>
      <c r="G64" s="533" t="s">
        <v>180</v>
      </c>
      <c r="H64" s="533"/>
      <c r="I64" s="533"/>
      <c r="J64" s="533"/>
      <c r="K64" s="534" t="e">
        <f>IF(F64&lt;=3,"выполняется","не выполняется")</f>
        <v>#DIV/0!</v>
      </c>
      <c r="L64" s="534"/>
      <c r="M64" s="387" t="s">
        <v>420</v>
      </c>
      <c r="N64" s="249" t="s">
        <v>413</v>
      </c>
      <c r="Q64" s="249"/>
      <c r="R64" s="249"/>
      <c r="S64" s="249"/>
      <c r="T64" s="202"/>
    </row>
    <row r="65" spans="1:20" ht="30" customHeight="1" outlineLevel="1">
      <c r="A65" s="532" t="s">
        <v>195</v>
      </c>
      <c r="B65" s="532"/>
      <c r="C65" s="532"/>
      <c r="D65" s="532"/>
      <c r="E65" s="532"/>
      <c r="F65" s="466" t="e">
        <f>ROUND(($F$66/1000)/AVERAGE(Заявка!$G$36:$G$47),2)</f>
        <v>#DIV/0!</v>
      </c>
      <c r="G65" s="533" t="s">
        <v>180</v>
      </c>
      <c r="H65" s="533"/>
      <c r="I65" s="533"/>
      <c r="J65" s="533"/>
      <c r="K65" s="534" t="e">
        <f>IF(ISNUMBER(SEARCH("аренд",E8)),IF(F65&lt;=70%,"выполняется","не выполняется"),IF(F65&lt;=20%,"выполняется","не выполняется"))</f>
        <v>#DIV/0!</v>
      </c>
      <c r="L65" s="534"/>
      <c r="M65" s="391" t="s">
        <v>433</v>
      </c>
      <c r="N65" s="351" t="e">
        <f>(((N123/(E21))+((N123/(E21))*E25/100*30/360)))</f>
        <v>#DIV/0!</v>
      </c>
      <c r="Q65" s="351"/>
      <c r="R65" s="351"/>
      <c r="S65" s="224"/>
      <c r="T65" s="202"/>
    </row>
    <row r="66" spans="1:20" ht="48.75" customHeight="1" outlineLevel="1">
      <c r="A66" s="509" t="s">
        <v>498</v>
      </c>
      <c r="B66" s="509"/>
      <c r="C66" s="509"/>
      <c r="D66" s="509"/>
      <c r="E66" s="509"/>
      <c r="F66" s="363"/>
      <c r="G66" s="195"/>
      <c r="H66" s="195"/>
      <c r="I66" s="195"/>
      <c r="J66" s="195"/>
      <c r="K66" s="195"/>
      <c r="L66" s="195"/>
      <c r="M66" s="195"/>
      <c r="P66" s="506"/>
      <c r="Q66" s="506"/>
      <c r="R66" s="506"/>
      <c r="S66" s="225"/>
      <c r="T66" s="202"/>
    </row>
    <row r="67" spans="1:20" ht="47.25" customHeight="1" outlineLevel="1">
      <c r="A67" s="532" t="s">
        <v>499</v>
      </c>
      <c r="B67" s="532"/>
      <c r="C67" s="532"/>
      <c r="D67" s="532"/>
      <c r="E67" s="532"/>
      <c r="F67" s="223" t="e">
        <f>ROUND(($F$68/1000)/(AVERAGE(Заявка!$G$36:$G$47)),2)</f>
        <v>#DIV/0!</v>
      </c>
      <c r="G67" s="533" t="s">
        <v>180</v>
      </c>
      <c r="H67" s="533"/>
      <c r="I67" s="533"/>
      <c r="J67" s="533"/>
      <c r="K67" s="534" t="e">
        <f>IF(ISNUMBER(SEARCH("долгосрочны",E17)),"не рассчитывается",IF(F67&lt;=2,"выполняется","не выполняется"))</f>
        <v>#DIV/0!</v>
      </c>
      <c r="L67" s="534"/>
      <c r="M67" s="386" t="s">
        <v>422</v>
      </c>
      <c r="P67" s="506"/>
      <c r="Q67" s="506"/>
      <c r="R67" s="506"/>
      <c r="S67" s="202"/>
      <c r="T67" s="202"/>
    </row>
    <row r="68" spans="1:20" ht="62.25" customHeight="1" outlineLevel="1">
      <c r="A68" s="509" t="s">
        <v>507</v>
      </c>
      <c r="B68" s="509"/>
      <c r="C68" s="509"/>
      <c r="D68" s="509"/>
      <c r="E68" s="509"/>
      <c r="F68" s="465"/>
      <c r="G68" s="195"/>
      <c r="H68" s="195"/>
      <c r="I68" s="195"/>
      <c r="J68" s="195"/>
      <c r="K68" s="195"/>
      <c r="L68" s="195"/>
      <c r="M68" s="195"/>
      <c r="N68" s="210" t="e">
        <f>IF(AND(OR(K61="выполняется",K61="не рассчитывается"),K62="выполняется",K63="выполняется",K64="выполняется",K65="выполняется",OR(K67="не рассчитывается",K67="выполняется"),K69="выполняется"),"соотв","не соотв")</f>
        <v>#DIV/0!</v>
      </c>
      <c r="P68" s="506"/>
      <c r="Q68" s="506"/>
      <c r="R68" s="506"/>
      <c r="S68" s="224"/>
      <c r="T68" s="202"/>
    </row>
    <row r="69" spans="1:20" ht="30.75" customHeight="1" outlineLevel="1">
      <c r="A69" s="532" t="s">
        <v>429</v>
      </c>
      <c r="B69" s="532"/>
      <c r="C69" s="532"/>
      <c r="D69" s="532"/>
      <c r="E69" s="532"/>
      <c r="F69" s="463" t="e">
        <f>ROUND(($F$70/1000)/(AVERAGE(Заявка!$G$36:$G$47)),2)</f>
        <v>#DIV/0!</v>
      </c>
      <c r="G69" s="533" t="s">
        <v>180</v>
      </c>
      <c r="H69" s="533"/>
      <c r="I69" s="533"/>
      <c r="J69" s="533"/>
      <c r="K69" s="534" t="e">
        <f>IF(F69&lt;=5,"выполняется","не выполняется")</f>
        <v>#DIV/0!</v>
      </c>
      <c r="L69" s="534"/>
      <c r="M69" s="392" t="s">
        <v>431</v>
      </c>
      <c r="P69" s="506"/>
      <c r="Q69" s="506"/>
      <c r="R69" s="506"/>
      <c r="S69" s="202"/>
      <c r="T69" s="202"/>
    </row>
    <row r="70" spans="1:20" ht="47.25" customHeight="1" outlineLevel="1">
      <c r="A70" s="628" t="s">
        <v>430</v>
      </c>
      <c r="B70" s="628"/>
      <c r="C70" s="628"/>
      <c r="D70" s="628"/>
      <c r="E70" s="628"/>
      <c r="F70" s="465"/>
      <c r="G70" s="195"/>
      <c r="H70" s="195"/>
      <c r="I70" s="195"/>
      <c r="J70" s="195"/>
      <c r="K70" s="195"/>
      <c r="L70" s="195"/>
      <c r="M70" s="195"/>
      <c r="N70" s="210"/>
      <c r="P70" s="506"/>
      <c r="Q70" s="506"/>
      <c r="R70" s="506"/>
      <c r="S70" s="224"/>
      <c r="T70" s="202"/>
    </row>
    <row r="71" spans="1:20" ht="30.75" customHeight="1" outlineLevel="1">
      <c r="A71" s="532" t="s">
        <v>438</v>
      </c>
      <c r="B71" s="532"/>
      <c r="C71" s="532"/>
      <c r="D71" s="532"/>
      <c r="E71" s="532"/>
      <c r="F71" s="223" t="e">
        <f>360/(SUM(Заявка!$G$36:$G$47)/AVERAGE(Заявка!$Q$40:$Q$41))</f>
        <v>#DIV/0!</v>
      </c>
      <c r="G71" s="533" t="s">
        <v>180</v>
      </c>
      <c r="H71" s="533"/>
      <c r="I71" s="533"/>
      <c r="J71" s="533"/>
      <c r="K71" s="534" t="e">
        <f>IF(F71=" ","не рассчитывается",IF(F71&lt;=120,"выполняется","не выполняется"))</f>
        <v>#DIV/0!</v>
      </c>
      <c r="L71" s="534"/>
      <c r="M71" s="392" t="s">
        <v>439</v>
      </c>
      <c r="N71" s="467" t="s">
        <v>505</v>
      </c>
      <c r="P71" s="506"/>
      <c r="Q71" s="506"/>
      <c r="R71" s="506"/>
      <c r="S71" s="202"/>
      <c r="T71" s="202"/>
    </row>
    <row r="72" spans="1:20" ht="36.75" customHeight="1" outlineLevel="1">
      <c r="A72" s="507" t="s">
        <v>460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</row>
    <row r="73" spans="1:20" ht="12.75" customHeight="1">
      <c r="A73" s="629" t="s">
        <v>461</v>
      </c>
      <c r="B73" s="629"/>
      <c r="C73" s="629"/>
      <c r="D73" s="629"/>
      <c r="E73" s="629"/>
      <c r="F73" s="629"/>
      <c r="G73" s="629"/>
      <c r="H73" s="629"/>
      <c r="I73" s="629"/>
      <c r="J73" s="629"/>
      <c r="K73" s="629"/>
      <c r="L73" s="629"/>
      <c r="M73" s="629"/>
    </row>
    <row r="74" spans="1:20" ht="24.75" customHeight="1">
      <c r="A74" s="583" t="s">
        <v>500</v>
      </c>
      <c r="B74" s="584"/>
      <c r="C74" s="584"/>
      <c r="D74" s="584"/>
      <c r="E74" s="584"/>
      <c r="F74" s="584"/>
      <c r="G74" s="584"/>
      <c r="H74" s="584"/>
      <c r="I74" s="584"/>
      <c r="J74" s="584"/>
      <c r="K74" s="584"/>
      <c r="L74" s="584"/>
      <c r="M74" s="584"/>
    </row>
    <row r="75" spans="1:20" ht="12.75" customHeight="1">
      <c r="A75" s="585"/>
      <c r="B75" s="585"/>
      <c r="C75" s="585"/>
      <c r="D75" s="585"/>
      <c r="E75" s="585"/>
      <c r="F75" s="585"/>
      <c r="G75" s="585"/>
      <c r="H75" s="585"/>
      <c r="I75" s="585"/>
      <c r="J75" s="585"/>
      <c r="K75" s="585"/>
      <c r="L75" s="585"/>
      <c r="M75" s="585"/>
    </row>
    <row r="76" spans="1:20" outlineLevel="1">
      <c r="A76" s="211" t="s">
        <v>198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P76" s="202"/>
      <c r="Q76" s="202"/>
      <c r="R76" s="202"/>
      <c r="S76" s="202"/>
      <c r="T76" s="202"/>
    </row>
    <row r="77" spans="1:20" ht="33.75" customHeight="1" outlineLevel="1">
      <c r="A77" s="215" t="s">
        <v>216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388" t="s">
        <v>419</v>
      </c>
      <c r="P77" s="249"/>
      <c r="Q77" s="249"/>
      <c r="R77" s="249"/>
      <c r="S77" s="249"/>
      <c r="T77" s="202"/>
    </row>
    <row r="78" spans="1:20" ht="27" customHeight="1" outlineLevel="1">
      <c r="A78" s="553" t="s">
        <v>190</v>
      </c>
      <c r="B78" s="554"/>
      <c r="C78" s="554"/>
      <c r="D78" s="554"/>
      <c r="E78" s="555"/>
      <c r="F78" s="220">
        <f>IF(Заявка!$Q$37=0,0,Заявка!$Q$37/Заявка!$Q$36)</f>
        <v>0</v>
      </c>
      <c r="G78" s="556" t="s">
        <v>180</v>
      </c>
      <c r="H78" s="557"/>
      <c r="I78" s="557"/>
      <c r="J78" s="558"/>
      <c r="K78" s="559" t="e">
        <f>IF(Заявка!$Q$36&gt;AVERAGE(Заявка!$G$36:$G$47),IF(F78&lt;=40,"выполняется","не выполняется"),"не рассчитывается")</f>
        <v>#DIV/0!</v>
      </c>
      <c r="L78" s="560"/>
      <c r="M78" s="387" t="s">
        <v>446</v>
      </c>
      <c r="P78" s="352"/>
      <c r="Q78" s="352"/>
      <c r="R78" s="352"/>
      <c r="S78" s="352"/>
      <c r="T78" s="202"/>
    </row>
    <row r="79" spans="1:20" ht="31.5" customHeight="1" outlineLevel="1">
      <c r="A79" s="553" t="s">
        <v>191</v>
      </c>
      <c r="B79" s="554"/>
      <c r="C79" s="554"/>
      <c r="D79" s="554"/>
      <c r="E79" s="555"/>
      <c r="F79" s="219" t="e">
        <f>ROUND(Заявка!$Q$36/AVERAGE(Заявка!$G$36:$G$47),2)</f>
        <v>#DIV/0!</v>
      </c>
      <c r="G79" s="556" t="s">
        <v>180</v>
      </c>
      <c r="H79" s="557"/>
      <c r="I79" s="557"/>
      <c r="J79" s="558"/>
      <c r="K79" s="559" t="e">
        <f>IF(F79&lt;=3,"выполняется","не выполняется")</f>
        <v>#DIV/0!</v>
      </c>
      <c r="L79" s="560"/>
      <c r="M79" s="387" t="s">
        <v>420</v>
      </c>
      <c r="P79" s="352"/>
      <c r="Q79" s="352"/>
      <c r="R79" s="352"/>
      <c r="S79" s="352"/>
      <c r="T79" s="202"/>
    </row>
    <row r="80" spans="1:20" ht="31.5" customHeight="1" outlineLevel="1">
      <c r="A80" s="553" t="s">
        <v>192</v>
      </c>
      <c r="B80" s="554"/>
      <c r="C80" s="554"/>
      <c r="D80" s="554"/>
      <c r="E80" s="555"/>
      <c r="F80" s="220">
        <f>IF(Заявка!$Q$39=0,0,Заявка!$Q$39/Заявка!$Q$38)</f>
        <v>0</v>
      </c>
      <c r="G80" s="556" t="s">
        <v>180</v>
      </c>
      <c r="H80" s="557"/>
      <c r="I80" s="557"/>
      <c r="J80" s="558"/>
      <c r="K80" s="559" t="str">
        <f>IF(F80=0,"выполняется","не выполняется")</f>
        <v>выполняется</v>
      </c>
      <c r="L80" s="560"/>
      <c r="M80" s="389">
        <v>0</v>
      </c>
      <c r="P80" s="352"/>
      <c r="Q80" s="352"/>
      <c r="R80" s="352"/>
      <c r="S80" s="352"/>
      <c r="T80" s="202"/>
    </row>
    <row r="81" spans="1:20" ht="31.5" customHeight="1" outlineLevel="1">
      <c r="A81" s="553" t="s">
        <v>193</v>
      </c>
      <c r="B81" s="554"/>
      <c r="C81" s="554"/>
      <c r="D81" s="554"/>
      <c r="E81" s="555"/>
      <c r="F81" s="219" t="e">
        <f>ROUND(Заявка!$Q$38/AVERAGE(Заявка!$G$36:$G$47),2)</f>
        <v>#DIV/0!</v>
      </c>
      <c r="G81" s="556" t="s">
        <v>180</v>
      </c>
      <c r="H81" s="557"/>
      <c r="I81" s="557"/>
      <c r="J81" s="558"/>
      <c r="K81" s="559" t="e">
        <f>IF(F81&lt;=3,"выполняется","не выполняется")</f>
        <v>#DIV/0!</v>
      </c>
      <c r="L81" s="560"/>
      <c r="M81" s="387" t="s">
        <v>420</v>
      </c>
      <c r="P81" s="249"/>
      <c r="Q81" s="249"/>
      <c r="R81" s="249"/>
      <c r="S81" s="249"/>
      <c r="T81" s="202"/>
    </row>
    <row r="82" spans="1:20" ht="30" customHeight="1" outlineLevel="1">
      <c r="A82" s="553" t="s">
        <v>195</v>
      </c>
      <c r="B82" s="554"/>
      <c r="C82" s="554"/>
      <c r="D82" s="554"/>
      <c r="E82" s="555"/>
      <c r="F82" s="466" t="e">
        <f>ROUND(($F$83/1000)/AVERAGE(Заявка!$G$36:$G$47),2)</f>
        <v>#DIV/0!</v>
      </c>
      <c r="G82" s="556" t="s">
        <v>180</v>
      </c>
      <c r="H82" s="557"/>
      <c r="I82" s="557"/>
      <c r="J82" s="558"/>
      <c r="K82" s="559" t="e">
        <f>IF(F82&lt;=10%,"выполняется","не выполняется")</f>
        <v>#DIV/0!</v>
      </c>
      <c r="L82" s="560"/>
      <c r="M82" s="387" t="s">
        <v>432</v>
      </c>
      <c r="P82" s="506"/>
      <c r="Q82" s="506"/>
      <c r="R82" s="506"/>
      <c r="S82" s="224"/>
      <c r="T82" s="202"/>
    </row>
    <row r="83" spans="1:20" ht="45" customHeight="1" outlineLevel="1">
      <c r="A83" s="509" t="s">
        <v>498</v>
      </c>
      <c r="B83" s="509"/>
      <c r="C83" s="509"/>
      <c r="D83" s="509"/>
      <c r="E83" s="509"/>
      <c r="F83" s="363"/>
      <c r="G83" s="195"/>
      <c r="H83" s="195"/>
      <c r="I83" s="195"/>
      <c r="J83" s="195"/>
      <c r="K83" s="195"/>
      <c r="L83" s="195"/>
      <c r="M83" s="195"/>
      <c r="P83" s="506"/>
      <c r="Q83" s="506"/>
      <c r="R83" s="506"/>
      <c r="S83" s="225"/>
      <c r="T83" s="202"/>
    </row>
    <row r="84" spans="1:20" ht="47.25" customHeight="1" outlineLevel="1">
      <c r="A84" s="532" t="s">
        <v>499</v>
      </c>
      <c r="B84" s="532"/>
      <c r="C84" s="532"/>
      <c r="D84" s="532"/>
      <c r="E84" s="532"/>
      <c r="F84" s="223" t="e">
        <f>ROUND(($F$85/1000)/(AVERAGE(Заявка!$G$36:$G$47)),2)</f>
        <v>#DIV/0!</v>
      </c>
      <c r="G84" s="556" t="s">
        <v>180</v>
      </c>
      <c r="H84" s="557"/>
      <c r="I84" s="557"/>
      <c r="J84" s="558"/>
      <c r="K84" s="559" t="e">
        <f>IF(ISNUMBER(SEARCH("долгосрочны",E30)),"не рассчитывается",IF(F84&lt;=2,"выполняется","не выполняется"))</f>
        <v>#DIV/0!</v>
      </c>
      <c r="L84" s="560"/>
      <c r="M84" s="387" t="s">
        <v>422</v>
      </c>
      <c r="N84" s="210" t="e">
        <f>IF(AND(OR(K78="выполняется",K78="не рассчитывается"),K79="выполняется",K80="выполняется",K81="выполняется",K82="выполняется",OR(K84="не рассчитывается",K84="выполняется"),K86="выполняется"),"соотв","не соотв")</f>
        <v>#DIV/0!</v>
      </c>
      <c r="P84" s="506"/>
      <c r="Q84" s="506"/>
      <c r="R84" s="506"/>
      <c r="S84" s="202"/>
      <c r="T84" s="202"/>
    </row>
    <row r="85" spans="1:20" ht="63.75" customHeight="1" outlineLevel="1">
      <c r="A85" s="509" t="s">
        <v>507</v>
      </c>
      <c r="B85" s="509"/>
      <c r="C85" s="509"/>
      <c r="D85" s="509"/>
      <c r="E85" s="509"/>
      <c r="F85" s="465"/>
      <c r="G85" s="195"/>
      <c r="H85" s="195"/>
      <c r="I85" s="195"/>
      <c r="J85" s="195"/>
      <c r="K85" s="195"/>
      <c r="L85" s="195"/>
      <c r="M85" s="195"/>
      <c r="P85" s="506"/>
      <c r="Q85" s="506"/>
      <c r="R85" s="506"/>
      <c r="S85" s="224"/>
      <c r="T85" s="202"/>
    </row>
    <row r="86" spans="1:20" ht="30.75" customHeight="1" outlineLevel="1">
      <c r="A86" s="532" t="s">
        <v>429</v>
      </c>
      <c r="B86" s="532"/>
      <c r="C86" s="532"/>
      <c r="D86" s="532"/>
      <c r="E86" s="532"/>
      <c r="F86" s="463" t="e">
        <f>ROUND(($F$87/1000)/(AVERAGE(Заявка!$G$36:$G$47)),2)</f>
        <v>#DIV/0!</v>
      </c>
      <c r="G86" s="533" t="s">
        <v>180</v>
      </c>
      <c r="H86" s="533"/>
      <c r="I86" s="533"/>
      <c r="J86" s="533"/>
      <c r="K86" s="534" t="e">
        <f>IF(F86&lt;=5,"выполняется","не выполняется")</f>
        <v>#DIV/0!</v>
      </c>
      <c r="L86" s="534"/>
      <c r="M86" s="392" t="s">
        <v>431</v>
      </c>
      <c r="P86" s="506"/>
      <c r="Q86" s="506"/>
      <c r="R86" s="506"/>
      <c r="S86" s="202"/>
      <c r="T86" s="202"/>
    </row>
    <row r="87" spans="1:20" ht="60" customHeight="1" outlineLevel="1">
      <c r="A87" s="509" t="s">
        <v>508</v>
      </c>
      <c r="B87" s="509"/>
      <c r="C87" s="509"/>
      <c r="D87" s="509"/>
      <c r="E87" s="509"/>
      <c r="F87" s="465"/>
      <c r="G87" s="195"/>
      <c r="H87" s="195"/>
      <c r="I87" s="195"/>
      <c r="J87" s="195"/>
      <c r="K87" s="195"/>
      <c r="L87" s="195"/>
      <c r="M87" s="195"/>
      <c r="N87" s="210"/>
      <c r="P87" s="506"/>
      <c r="Q87" s="506"/>
      <c r="R87" s="506"/>
      <c r="S87" s="224"/>
      <c r="T87" s="202"/>
    </row>
    <row r="88" spans="1:20" ht="67.5" customHeight="1" outlineLevel="1">
      <c r="A88" s="561" t="s">
        <v>501</v>
      </c>
      <c r="B88" s="561"/>
      <c r="C88" s="561"/>
      <c r="D88" s="561"/>
      <c r="E88" s="561"/>
      <c r="F88" s="561"/>
      <c r="G88" s="561"/>
      <c r="H88" s="561"/>
      <c r="I88" s="561"/>
      <c r="J88" s="561"/>
      <c r="K88" s="561"/>
      <c r="L88" s="561"/>
      <c r="M88" s="561"/>
      <c r="P88" s="464"/>
    </row>
    <row r="89" spans="1:20" ht="17.25" customHeight="1">
      <c r="A89" s="620"/>
      <c r="B89" s="620"/>
      <c r="C89" s="620"/>
      <c r="D89" s="620"/>
      <c r="E89" s="620"/>
      <c r="F89" s="620"/>
      <c r="G89" s="620"/>
      <c r="H89" s="620"/>
      <c r="I89" s="620"/>
      <c r="J89" s="620"/>
      <c r="K89" s="620"/>
      <c r="L89" s="620"/>
      <c r="M89" s="620"/>
      <c r="P89" s="202"/>
      <c r="Q89" s="202"/>
      <c r="R89" s="202"/>
      <c r="S89" s="202"/>
      <c r="T89" s="202"/>
    </row>
    <row r="90" spans="1:20" hidden="1" outlineLevel="1">
      <c r="A90" s="211" t="s">
        <v>199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P90" s="202"/>
      <c r="Q90" s="202"/>
      <c r="R90" s="202"/>
      <c r="S90" s="202"/>
      <c r="T90" s="202"/>
    </row>
    <row r="91" spans="1:20" ht="30" hidden="1" customHeight="1" outlineLevel="1">
      <c r="A91" s="215" t="s">
        <v>179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388" t="s">
        <v>419</v>
      </c>
      <c r="P91" s="249"/>
      <c r="Q91" s="249"/>
      <c r="R91" s="249"/>
      <c r="S91" s="249"/>
      <c r="T91" s="202"/>
    </row>
    <row r="92" spans="1:20" ht="45" hidden="1" customHeight="1" outlineLevel="1">
      <c r="A92" s="532" t="s">
        <v>203</v>
      </c>
      <c r="B92" s="532"/>
      <c r="C92" s="532"/>
      <c r="D92" s="532"/>
      <c r="E92" s="532"/>
      <c r="F92" s="398" t="e">
        <f>(F94/12)/F93</f>
        <v>#DIV/0!</v>
      </c>
      <c r="G92" s="562" t="s">
        <v>180</v>
      </c>
      <c r="H92" s="563"/>
      <c r="I92" s="563"/>
      <c r="J92" s="564"/>
      <c r="K92" s="565" t="e">
        <f>IF(F92&gt;=0,"выполняется","не выполняется")</f>
        <v>#DIV/0!</v>
      </c>
      <c r="L92" s="566"/>
      <c r="M92" s="399" t="s">
        <v>421</v>
      </c>
      <c r="N92" s="226" t="e">
        <f>IF(K92="выполняется","соотв","не соотв")</f>
        <v>#DIV/0!</v>
      </c>
      <c r="P92" s="506"/>
      <c r="Q92" s="506"/>
      <c r="R92" s="506"/>
      <c r="S92" s="224"/>
      <c r="T92" s="202"/>
    </row>
    <row r="93" spans="1:20" ht="30" hidden="1" customHeight="1" outlineLevel="1">
      <c r="A93" s="525" t="s">
        <v>200</v>
      </c>
      <c r="B93" s="525"/>
      <c r="C93" s="525"/>
      <c r="D93" s="525"/>
      <c r="E93" s="526"/>
      <c r="F93" s="400"/>
      <c r="G93" s="320"/>
      <c r="H93" s="320"/>
      <c r="I93" s="320"/>
      <c r="J93" s="320"/>
      <c r="K93" s="320"/>
      <c r="L93" s="320"/>
      <c r="M93" s="320"/>
      <c r="P93" s="506"/>
      <c r="Q93" s="506"/>
      <c r="R93" s="506"/>
      <c r="S93" s="225"/>
      <c r="T93" s="202"/>
    </row>
    <row r="94" spans="1:20" ht="30" hidden="1" customHeight="1" outlineLevel="1">
      <c r="A94" s="508" t="str">
        <f>IF(Заявка!Z31="Нет","Чистый доход за последний отчетный год, BYN","Чистая прибыль за последний отчетный год, BYN")</f>
        <v>Чистая прибыль за последний отчетный год, BYN</v>
      </c>
      <c r="B94" s="508"/>
      <c r="C94" s="508"/>
      <c r="D94" s="508"/>
      <c r="E94" s="508"/>
      <c r="F94" s="400"/>
      <c r="G94" s="320"/>
      <c r="H94" s="320"/>
      <c r="I94" s="320"/>
      <c r="J94" s="320"/>
      <c r="K94" s="320"/>
      <c r="L94" s="320"/>
      <c r="M94" s="320"/>
      <c r="P94" s="506"/>
      <c r="Q94" s="506"/>
      <c r="R94" s="506"/>
      <c r="S94" s="202"/>
      <c r="T94" s="202"/>
    </row>
    <row r="95" spans="1:20" ht="54.75" hidden="1" customHeight="1" outlineLevel="1">
      <c r="A95" s="507" t="s">
        <v>459</v>
      </c>
      <c r="B95" s="507"/>
      <c r="C95" s="507"/>
      <c r="D95" s="507"/>
      <c r="E95" s="507"/>
      <c r="F95" s="507"/>
      <c r="G95" s="507"/>
      <c r="H95" s="507"/>
      <c r="I95" s="507"/>
      <c r="J95" s="507"/>
      <c r="K95" s="507"/>
      <c r="L95" s="507"/>
      <c r="M95" s="507"/>
      <c r="P95" s="506"/>
      <c r="Q95" s="506"/>
      <c r="R95" s="506"/>
      <c r="S95" s="224"/>
      <c r="T95" s="202"/>
    </row>
    <row r="96" spans="1:20" ht="29.25" customHeight="1" collapsed="1">
      <c r="A96" s="548" t="s">
        <v>181</v>
      </c>
      <c r="B96" s="549"/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P96" s="269"/>
      <c r="Q96" s="202"/>
      <c r="R96" s="202"/>
      <c r="S96" s="202"/>
      <c r="T96" s="202"/>
    </row>
    <row r="97" spans="1:16" ht="18.75" customHeight="1">
      <c r="A97" s="551" t="s">
        <v>182</v>
      </c>
      <c r="B97" s="552"/>
      <c r="C97" s="552"/>
      <c r="D97" s="552"/>
      <c r="E97" s="552"/>
      <c r="F97" s="547"/>
      <c r="G97" s="547"/>
      <c r="H97" s="547"/>
      <c r="I97" s="547"/>
      <c r="J97" s="547"/>
      <c r="K97" s="547"/>
      <c r="L97" s="547"/>
      <c r="M97" s="364"/>
      <c r="N97" s="227" t="str">
        <f>IF(OR(M97="не оценивается",M97="да"),"соотв","не соотв")</f>
        <v>не соотв</v>
      </c>
      <c r="P97" s="214"/>
    </row>
    <row r="98" spans="1:16" ht="18.75" customHeight="1">
      <c r="A98" s="551" t="s">
        <v>183</v>
      </c>
      <c r="B98" s="552"/>
      <c r="C98" s="552"/>
      <c r="D98" s="552"/>
      <c r="E98" s="552"/>
      <c r="F98" s="547"/>
      <c r="G98" s="547"/>
      <c r="H98" s="547"/>
      <c r="I98" s="547"/>
      <c r="J98" s="547"/>
      <c r="K98" s="547"/>
      <c r="L98" s="547"/>
      <c r="M98" s="364"/>
      <c r="N98" s="227" t="str">
        <f>IF(OR(M98="не оценивается",M98="да"),"соотв","не соотв")</f>
        <v>не соотв</v>
      </c>
      <c r="P98" s="214"/>
    </row>
    <row r="99" spans="1:16" ht="31.5" customHeight="1">
      <c r="A99" s="546" t="s">
        <v>184</v>
      </c>
      <c r="B99" s="547"/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364"/>
    </row>
    <row r="100" spans="1:16" ht="45" customHeight="1">
      <c r="A100" s="546" t="s">
        <v>185</v>
      </c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  <c r="M100" s="364"/>
    </row>
    <row r="101" spans="1:16" ht="43.5" customHeight="1">
      <c r="A101" s="546" t="s">
        <v>186</v>
      </c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364"/>
    </row>
    <row r="102" spans="1:16" ht="18.75" customHeight="1">
      <c r="A102" s="546" t="s">
        <v>502</v>
      </c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  <c r="M102" s="364"/>
    </row>
    <row r="103" spans="1:16" ht="18.75" customHeight="1">
      <c r="A103" s="551" t="s">
        <v>187</v>
      </c>
      <c r="B103" s="552"/>
      <c r="C103" s="552"/>
      <c r="D103" s="552"/>
      <c r="E103" s="552"/>
      <c r="F103" s="547"/>
      <c r="G103" s="547"/>
      <c r="H103" s="547"/>
      <c r="I103" s="547"/>
      <c r="J103" s="547"/>
      <c r="K103" s="547"/>
      <c r="L103" s="547"/>
      <c r="M103" s="364"/>
      <c r="N103" s="226" t="str">
        <f>IF(AND(N97="соотв",N98="соотв",M99="отсутствует",M100="отсутствует",M101="отсутствует",M102="отсутствует",M103="отсутствуют"),"соотв","не соотв")</f>
        <v>не соотв</v>
      </c>
      <c r="P103" s="214"/>
    </row>
    <row r="104" spans="1:16" ht="15.75">
      <c r="A104" s="550"/>
      <c r="B104" s="550"/>
      <c r="C104" s="550"/>
      <c r="D104" s="550"/>
      <c r="E104" s="550"/>
      <c r="F104" s="550"/>
      <c r="G104" s="550"/>
      <c r="H104" s="550"/>
      <c r="I104" s="550"/>
      <c r="J104" s="550"/>
      <c r="K104" s="550"/>
      <c r="L104" s="550"/>
      <c r="M104" s="550"/>
    </row>
    <row r="105" spans="1:16" ht="15.75">
      <c r="A105" s="545" t="s">
        <v>105</v>
      </c>
      <c r="B105" s="545"/>
      <c r="C105" s="545"/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</row>
    <row r="106" spans="1:16" ht="15.75" customHeight="1">
      <c r="A106" s="514" t="s">
        <v>206</v>
      </c>
      <c r="B106" s="514"/>
      <c r="C106" s="515">
        <f>Заявка!B64</f>
        <v>0</v>
      </c>
      <c r="D106" s="515"/>
      <c r="E106" s="515"/>
      <c r="F106" s="515"/>
      <c r="G106" s="515"/>
      <c r="H106" s="515"/>
      <c r="I106" s="516" t="str">
        <f>IF(Заявка!U64="учредитель","- учредитель с долей УФ"," ")</f>
        <v xml:space="preserve"> </v>
      </c>
      <c r="J106" s="516"/>
      <c r="K106" s="516"/>
      <c r="L106" s="365"/>
      <c r="M106" s="348" t="str">
        <f>IF(L106=" "," ","%")</f>
        <v>%</v>
      </c>
      <c r="N106" s="227" t="str">
        <f>IF(Заявка!$L$3="Заявка юридического лица","+","-")</f>
        <v>+</v>
      </c>
      <c r="P106" s="228" t="s">
        <v>205</v>
      </c>
    </row>
    <row r="107" spans="1:16" ht="15.75" customHeight="1">
      <c r="A107" s="514" t="s">
        <v>206</v>
      </c>
      <c r="B107" s="514"/>
      <c r="C107" s="515">
        <f>Заявка!B65</f>
        <v>0</v>
      </c>
      <c r="D107" s="515"/>
      <c r="E107" s="515"/>
      <c r="F107" s="515"/>
      <c r="G107" s="515"/>
      <c r="H107" s="515"/>
      <c r="I107" s="516" t="str">
        <f>IF(Заявка!U65="учредитель","- учредитель с долей УФ"," ")</f>
        <v xml:space="preserve"> </v>
      </c>
      <c r="J107" s="516"/>
      <c r="K107" s="516"/>
      <c r="L107" s="365"/>
      <c r="M107" s="348" t="str">
        <f>IF(L107=" "," ","%")</f>
        <v>%</v>
      </c>
      <c r="N107" s="226" t="str">
        <f>IF(N106="+",IF($L$106+$L$107&gt;=50,"соотв","не соотв"),"соотв")</f>
        <v>не соотв</v>
      </c>
    </row>
    <row r="108" spans="1:16" ht="15.75" customHeight="1">
      <c r="A108" s="520"/>
      <c r="B108" s="520"/>
      <c r="C108" s="520"/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226"/>
    </row>
    <row r="109" spans="1:16" ht="15.75" customHeight="1">
      <c r="A109" s="517" t="s">
        <v>207</v>
      </c>
      <c r="B109" s="517"/>
      <c r="C109" s="517"/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P109" s="228"/>
    </row>
    <row r="110" spans="1:16" ht="30" customHeight="1">
      <c r="A110" s="518" t="s">
        <v>162</v>
      </c>
      <c r="B110" s="518"/>
      <c r="C110" s="518"/>
      <c r="D110" s="518"/>
      <c r="E110" s="519" t="s">
        <v>209</v>
      </c>
      <c r="F110" s="519"/>
      <c r="G110" s="518" t="s">
        <v>161</v>
      </c>
      <c r="H110" s="518"/>
      <c r="I110" s="518"/>
      <c r="J110" s="518" t="str">
        <f>CONCATENATE("Оценочная стоимость, ",G15)</f>
        <v>Оценочная стоимость, 0</v>
      </c>
      <c r="K110" s="518"/>
      <c r="L110" s="229" t="s">
        <v>208</v>
      </c>
      <c r="M110" s="229" t="str">
        <f>CONCATENATE("Залоговая стоимость, ",G15)</f>
        <v>Залоговая стоимость, 0</v>
      </c>
      <c r="N110" s="230"/>
      <c r="P110" s="228"/>
    </row>
    <row r="111" spans="1:16" ht="31.5" customHeight="1">
      <c r="A111" s="503"/>
      <c r="B111" s="503"/>
      <c r="C111" s="503"/>
      <c r="D111" s="503"/>
      <c r="E111" s="504"/>
      <c r="F111" s="504"/>
      <c r="G111" s="503"/>
      <c r="H111" s="503"/>
      <c r="I111" s="503"/>
      <c r="J111" s="505"/>
      <c r="K111" s="505"/>
      <c r="L111" s="366"/>
      <c r="M111" s="231">
        <f>J111*(100-L111)/100</f>
        <v>0</v>
      </c>
      <c r="N111" s="230"/>
      <c r="P111" s="228"/>
    </row>
    <row r="112" spans="1:16" ht="30" customHeight="1">
      <c r="A112" s="503"/>
      <c r="B112" s="503"/>
      <c r="C112" s="503"/>
      <c r="D112" s="503"/>
      <c r="E112" s="504"/>
      <c r="F112" s="504"/>
      <c r="G112" s="503"/>
      <c r="H112" s="503"/>
      <c r="I112" s="503"/>
      <c r="J112" s="503"/>
      <c r="K112" s="503"/>
      <c r="L112" s="367"/>
      <c r="M112" s="231">
        <f t="shared" ref="M112:M113" si="0">J112*(100-L112)/100</f>
        <v>0</v>
      </c>
      <c r="N112" s="230"/>
      <c r="P112" s="228"/>
    </row>
    <row r="113" spans="1:19" ht="30" customHeight="1">
      <c r="A113" s="503"/>
      <c r="B113" s="503"/>
      <c r="C113" s="503"/>
      <c r="D113" s="503"/>
      <c r="E113" s="504"/>
      <c r="F113" s="504"/>
      <c r="G113" s="503"/>
      <c r="H113" s="503"/>
      <c r="I113" s="503"/>
      <c r="J113" s="503"/>
      <c r="K113" s="503"/>
      <c r="L113" s="367"/>
      <c r="M113" s="231">
        <f t="shared" si="0"/>
        <v>0</v>
      </c>
      <c r="N113" s="230"/>
      <c r="P113" s="228"/>
    </row>
    <row r="114" spans="1:19" ht="30" customHeight="1">
      <c r="A114" s="518" t="s">
        <v>389</v>
      </c>
      <c r="B114" s="518"/>
      <c r="C114" s="518"/>
      <c r="D114" s="518"/>
      <c r="E114" s="519"/>
      <c r="F114" s="519"/>
      <c r="G114" s="518"/>
      <c r="H114" s="518"/>
      <c r="I114" s="518"/>
      <c r="J114" s="619">
        <f>SUM(J111:J113)</f>
        <v>0</v>
      </c>
      <c r="K114" s="518"/>
      <c r="L114" s="353"/>
      <c r="M114" s="231">
        <f>SUM(M111:M113)</f>
        <v>0</v>
      </c>
      <c r="N114" s="230"/>
      <c r="P114" s="228"/>
    </row>
    <row r="115" spans="1:19" ht="42.75" hidden="1" customHeight="1">
      <c r="A115" s="521" t="str">
        <f>CONCATENATE("Прогнозное снижение с 01.01.",YEAR(L3)+1)</f>
        <v>Прогнозное снижение с 01.01.1901</v>
      </c>
      <c r="B115" s="521"/>
      <c r="C115" s="521"/>
      <c r="D115" s="521"/>
      <c r="E115" s="353" t="s">
        <v>390</v>
      </c>
      <c r="F115" s="353" t="str">
        <f>CONCATENATE("Оценочная стоимость, ",G15)</f>
        <v>Оценочная стоимость, 0</v>
      </c>
      <c r="G115" s="353" t="str">
        <f>CONCATENATE("Залоговая стоимость, ",G15)</f>
        <v>Залоговая стоимость, 0</v>
      </c>
      <c r="H115" s="522" t="str">
        <f>CONCATENATE("Прогнозное снижение с 01.01.",YEAR(L3)+2)</f>
        <v>Прогнозное снижение с 01.01.1902</v>
      </c>
      <c r="I115" s="523"/>
      <c r="J115" s="524"/>
      <c r="K115" s="353" t="s">
        <v>390</v>
      </c>
      <c r="L115" s="353" t="str">
        <f>CONCATENATE("Оценочная стоимость, ",G15)</f>
        <v>Оценочная стоимость, 0</v>
      </c>
      <c r="M115" s="353" t="str">
        <f>CONCATENATE("Залоговая стоимость, ",G15)</f>
        <v>Залоговая стоимость, 0</v>
      </c>
      <c r="N115" s="356"/>
      <c r="P115" s="228"/>
    </row>
    <row r="116" spans="1:19" ht="30" hidden="1" customHeight="1">
      <c r="A116" s="518">
        <f>A111</f>
        <v>0</v>
      </c>
      <c r="B116" s="518"/>
      <c r="C116" s="518"/>
      <c r="D116" s="518"/>
      <c r="E116" s="368"/>
      <c r="F116" s="354">
        <f>J111*(100-E116)%</f>
        <v>0</v>
      </c>
      <c r="G116" s="353">
        <f>M111*(100-E116)%</f>
        <v>0</v>
      </c>
      <c r="H116" s="632">
        <f>A116</f>
        <v>0</v>
      </c>
      <c r="I116" s="633"/>
      <c r="J116" s="634"/>
      <c r="K116" s="367"/>
      <c r="L116" s="353">
        <f>F116*(100-K116)%</f>
        <v>0</v>
      </c>
      <c r="M116" s="231">
        <f>G116*(100-K116)%</f>
        <v>0</v>
      </c>
      <c r="N116" s="230"/>
      <c r="P116" s="228"/>
    </row>
    <row r="117" spans="1:19" ht="30" hidden="1" customHeight="1">
      <c r="A117" s="518">
        <f>A112</f>
        <v>0</v>
      </c>
      <c r="B117" s="518"/>
      <c r="C117" s="518"/>
      <c r="D117" s="518"/>
      <c r="E117" s="368"/>
      <c r="F117" s="354">
        <f t="shared" ref="F117:F118" si="1">J112*(100-E117)%</f>
        <v>0</v>
      </c>
      <c r="G117" s="353">
        <f t="shared" ref="G117:G118" si="2">M112*(100-E117)%</f>
        <v>0</v>
      </c>
      <c r="H117" s="632">
        <f>A117</f>
        <v>0</v>
      </c>
      <c r="I117" s="633"/>
      <c r="J117" s="634"/>
      <c r="K117" s="367"/>
      <c r="L117" s="353">
        <f t="shared" ref="L117:L118" si="3">F117*(100-K117)%</f>
        <v>0</v>
      </c>
      <c r="M117" s="231">
        <f t="shared" ref="M117:M118" si="4">G117*(100-K117)%</f>
        <v>0</v>
      </c>
      <c r="N117" s="230"/>
      <c r="P117" s="228"/>
    </row>
    <row r="118" spans="1:19" ht="30" hidden="1" customHeight="1">
      <c r="A118" s="518">
        <f>A113</f>
        <v>0</v>
      </c>
      <c r="B118" s="518"/>
      <c r="C118" s="518"/>
      <c r="D118" s="518"/>
      <c r="E118" s="368"/>
      <c r="F118" s="354">
        <f t="shared" si="1"/>
        <v>0</v>
      </c>
      <c r="G118" s="353">
        <f t="shared" si="2"/>
        <v>0</v>
      </c>
      <c r="H118" s="632">
        <f>A118</f>
        <v>0</v>
      </c>
      <c r="I118" s="633"/>
      <c r="J118" s="634"/>
      <c r="K118" s="367"/>
      <c r="L118" s="353">
        <f t="shared" si="3"/>
        <v>0</v>
      </c>
      <c r="M118" s="231">
        <f t="shared" si="4"/>
        <v>0</v>
      </c>
      <c r="N118" s="230"/>
      <c r="P118" s="228"/>
    </row>
    <row r="119" spans="1:19" ht="30" hidden="1" customHeight="1">
      <c r="A119" s="518" t="s">
        <v>389</v>
      </c>
      <c r="B119" s="518"/>
      <c r="C119" s="518"/>
      <c r="D119" s="518"/>
      <c r="E119" s="358"/>
      <c r="F119" s="354">
        <f>SUM(F116:F118)</f>
        <v>0</v>
      </c>
      <c r="G119" s="354">
        <f>SUM(G116:G118)</f>
        <v>0</v>
      </c>
      <c r="H119" s="635">
        <f>SUM(J116:J118)</f>
        <v>0</v>
      </c>
      <c r="I119" s="636"/>
      <c r="J119" s="637"/>
      <c r="K119" s="357"/>
      <c r="L119" s="353">
        <f>SUM(L116:L118)</f>
        <v>0</v>
      </c>
      <c r="M119" s="353">
        <f>SUM(M116:M118)</f>
        <v>0</v>
      </c>
      <c r="N119" s="230"/>
      <c r="P119" s="228"/>
    </row>
    <row r="120" spans="1:19" ht="31.5" customHeight="1">
      <c r="A120" s="638" t="s">
        <v>210</v>
      </c>
      <c r="B120" s="638"/>
      <c r="C120" s="638"/>
      <c r="D120" s="638"/>
      <c r="E120" s="639"/>
      <c r="F120" s="355" t="e">
        <f>M114/E15</f>
        <v>#DIV/0!</v>
      </c>
      <c r="G120" s="232"/>
      <c r="H120" s="232"/>
      <c r="I120" s="232"/>
      <c r="J120" s="232"/>
      <c r="K120" s="232"/>
      <c r="L120" s="232"/>
      <c r="M120" s="232"/>
      <c r="N120" s="233" t="str">
        <f>IF(E11="Кредитный экспресс",IF(F120&gt;=100%,"соотв","не соотв"),"соотв")</f>
        <v>соотв</v>
      </c>
      <c r="P120" s="228"/>
    </row>
    <row r="121" spans="1:19" ht="44.25" customHeight="1">
      <c r="A121" s="510" t="s">
        <v>188</v>
      </c>
      <c r="B121" s="511"/>
      <c r="C121" s="511"/>
      <c r="D121" s="511"/>
      <c r="E121" s="511"/>
      <c r="F121" s="511"/>
      <c r="G121" s="511"/>
      <c r="H121" s="512"/>
      <c r="I121" s="513"/>
      <c r="J121" s="513"/>
      <c r="K121" s="513"/>
      <c r="L121" s="502">
        <f>G15</f>
        <v>0</v>
      </c>
      <c r="M121" s="502"/>
      <c r="P121" s="621"/>
      <c r="Q121" s="621"/>
      <c r="R121" s="621"/>
    </row>
    <row r="122" spans="1:19" ht="32.25" customHeight="1">
      <c r="A122" s="510" t="str">
        <f>CONCATENATE("Размер задолженности Заявителя по действующим кредитным продуктам  ",E11,":")</f>
        <v>Размер задолженности Заявителя по действующим кредитным продуктам  0:</v>
      </c>
      <c r="B122" s="511"/>
      <c r="C122" s="511"/>
      <c r="D122" s="511"/>
      <c r="E122" s="511"/>
      <c r="F122" s="511"/>
      <c r="G122" s="511"/>
      <c r="H122" s="512"/>
      <c r="I122" s="513"/>
      <c r="J122" s="513"/>
      <c r="K122" s="513"/>
      <c r="L122" s="502">
        <f>L121</f>
        <v>0</v>
      </c>
      <c r="M122" s="502"/>
      <c r="N122" s="202" t="s">
        <v>215</v>
      </c>
      <c r="P122" s="396"/>
      <c r="Q122" s="202"/>
      <c r="R122" s="234"/>
    </row>
    <row r="123" spans="1:19" ht="22.5" customHeight="1">
      <c r="A123" s="640" t="s">
        <v>214</v>
      </c>
      <c r="B123" s="641"/>
      <c r="C123" s="641"/>
      <c r="D123" s="641"/>
      <c r="E123" s="641"/>
      <c r="F123" s="641"/>
      <c r="G123" s="641"/>
      <c r="H123" s="642"/>
      <c r="I123" s="500">
        <f>E15</f>
        <v>0</v>
      </c>
      <c r="J123" s="501"/>
      <c r="K123" s="501"/>
      <c r="L123" s="502">
        <f>L122</f>
        <v>0</v>
      </c>
      <c r="M123" s="502"/>
      <c r="N123" s="202" t="b">
        <f>IF($G$15="BYN",I123,IF($G$15="USD",I123*$D$4,IF($G$15="EUR",I123*$F$4,IF(G15="RUB",I123*$H$4))))</f>
        <v>0</v>
      </c>
      <c r="P123" s="234"/>
      <c r="R123" s="234"/>
    </row>
    <row r="124" spans="1:19" ht="24.75" customHeight="1">
      <c r="A124" s="622" t="s">
        <v>391</v>
      </c>
      <c r="B124" s="622"/>
      <c r="C124" s="622"/>
      <c r="D124" s="622"/>
      <c r="E124" s="622"/>
      <c r="F124" s="622"/>
      <c r="G124" s="622"/>
      <c r="H124" s="622"/>
      <c r="I124" s="622"/>
      <c r="J124" s="622"/>
      <c r="K124" s="622"/>
      <c r="L124" s="622"/>
      <c r="M124" s="622"/>
      <c r="N124" s="264"/>
      <c r="O124" s="264"/>
      <c r="P124" s="264"/>
      <c r="Q124" s="264"/>
      <c r="R124" s="264"/>
      <c r="S124" s="263"/>
    </row>
    <row r="125" spans="1:19" ht="24.75" customHeight="1">
      <c r="A125" s="630" t="s">
        <v>227</v>
      </c>
      <c r="B125" s="630"/>
      <c r="C125" s="630"/>
      <c r="D125" s="630"/>
      <c r="E125" s="630"/>
      <c r="F125" s="630"/>
      <c r="G125" s="630"/>
      <c r="H125" s="630"/>
      <c r="I125" s="630"/>
      <c r="J125" s="630"/>
      <c r="K125" s="630"/>
      <c r="L125" s="630"/>
      <c r="M125" s="364"/>
      <c r="N125" s="265"/>
      <c r="O125" s="265"/>
      <c r="P125" s="265"/>
      <c r="Q125" s="265"/>
      <c r="R125" s="265"/>
      <c r="S125" s="263"/>
    </row>
    <row r="126" spans="1:19" ht="24.75" customHeight="1">
      <c r="A126" s="630" t="s">
        <v>228</v>
      </c>
      <c r="B126" s="630"/>
      <c r="C126" s="630"/>
      <c r="D126" s="630"/>
      <c r="E126" s="630"/>
      <c r="F126" s="630"/>
      <c r="G126" s="630"/>
      <c r="H126" s="630"/>
      <c r="I126" s="630"/>
      <c r="J126" s="630"/>
      <c r="K126" s="630"/>
      <c r="L126" s="630"/>
      <c r="M126" s="349" t="e">
        <f>IF(M129&gt;20%,"да","нет")</f>
        <v>#DIV/0!</v>
      </c>
      <c r="N126" s="265"/>
      <c r="O126" s="265"/>
      <c r="P126" s="265"/>
      <c r="Q126" s="265"/>
      <c r="R126" s="265"/>
      <c r="S126" s="263"/>
    </row>
    <row r="127" spans="1:19" ht="24.75" customHeight="1">
      <c r="A127" s="630" t="s">
        <v>231</v>
      </c>
      <c r="B127" s="630"/>
      <c r="C127" s="630"/>
      <c r="D127" s="630"/>
      <c r="E127" s="630"/>
      <c r="F127" s="630"/>
      <c r="G127" s="630"/>
      <c r="H127" s="630"/>
      <c r="I127" s="630"/>
      <c r="J127" s="630"/>
      <c r="K127" s="630"/>
      <c r="L127" s="630"/>
      <c r="M127" s="364"/>
      <c r="N127" s="265"/>
      <c r="O127" s="265"/>
      <c r="P127" s="265"/>
      <c r="Q127" s="265"/>
      <c r="R127" s="265"/>
      <c r="S127" s="263"/>
    </row>
    <row r="128" spans="1:19" ht="24.75" customHeight="1">
      <c r="A128" s="630" t="s">
        <v>230</v>
      </c>
      <c r="B128" s="630"/>
      <c r="C128" s="630"/>
      <c r="D128" s="630"/>
      <c r="E128" s="630"/>
      <c r="F128" s="630"/>
      <c r="G128" s="630"/>
      <c r="H128" s="630"/>
      <c r="I128" s="630"/>
      <c r="J128" s="630"/>
      <c r="K128" s="630"/>
      <c r="L128" s="630"/>
      <c r="M128" s="349"/>
      <c r="N128" s="265"/>
      <c r="O128" s="265"/>
      <c r="P128" s="265"/>
      <c r="Q128" s="265"/>
      <c r="R128" s="265"/>
      <c r="S128" s="263"/>
    </row>
    <row r="129" spans="1:19" ht="24.75" customHeight="1">
      <c r="A129" s="630" t="s">
        <v>229</v>
      </c>
      <c r="B129" s="630"/>
      <c r="C129" s="630"/>
      <c r="D129" s="630"/>
      <c r="E129" s="630"/>
      <c r="F129" s="630"/>
      <c r="G129" s="630"/>
      <c r="H129" s="630"/>
      <c r="I129" s="630"/>
      <c r="J129" s="630"/>
      <c r="K129" s="630"/>
      <c r="L129" s="630"/>
      <c r="M129" s="350" t="e">
        <f>M128/M127</f>
        <v>#DIV/0!</v>
      </c>
      <c r="N129" s="265"/>
      <c r="O129" s="265"/>
      <c r="P129" s="265"/>
      <c r="Q129" s="265"/>
      <c r="R129" s="265"/>
      <c r="S129" s="263"/>
    </row>
    <row r="130" spans="1:19" ht="31.5" customHeight="1">
      <c r="A130" s="631"/>
      <c r="B130" s="631"/>
      <c r="C130" s="631"/>
      <c r="D130" s="631"/>
      <c r="E130" s="631"/>
      <c r="F130" s="631"/>
      <c r="G130" s="631"/>
      <c r="H130" s="631"/>
      <c r="I130" s="631"/>
      <c r="J130" s="631"/>
      <c r="K130" s="631"/>
      <c r="L130" s="631"/>
      <c r="M130" s="631"/>
      <c r="N130" s="249" t="s">
        <v>223</v>
      </c>
    </row>
    <row r="131" spans="1:19" ht="24.75" customHeight="1">
      <c r="A131" s="622" t="s">
        <v>392</v>
      </c>
      <c r="B131" s="622"/>
      <c r="C131" s="622"/>
      <c r="D131" s="622"/>
      <c r="E131" s="622"/>
      <c r="F131" s="622"/>
      <c r="G131" s="622"/>
      <c r="H131" s="622"/>
      <c r="I131" s="622"/>
      <c r="J131" s="622"/>
      <c r="K131" s="622"/>
      <c r="L131" s="622"/>
      <c r="M131" s="622"/>
      <c r="N131" s="249" t="s">
        <v>223</v>
      </c>
      <c r="O131" s="264"/>
      <c r="P131" s="264"/>
      <c r="Q131" s="264"/>
      <c r="R131" s="264"/>
      <c r="S131" s="263"/>
    </row>
    <row r="132" spans="1:19" ht="24.75" customHeight="1">
      <c r="A132" s="630" t="s">
        <v>227</v>
      </c>
      <c r="B132" s="630"/>
      <c r="C132" s="630"/>
      <c r="D132" s="630"/>
      <c r="E132" s="630"/>
      <c r="F132" s="630"/>
      <c r="G132" s="630"/>
      <c r="H132" s="630"/>
      <c r="I132" s="630"/>
      <c r="J132" s="630"/>
      <c r="K132" s="630"/>
      <c r="L132" s="630"/>
      <c r="M132" s="364"/>
      <c r="N132" s="250" t="s">
        <v>224</v>
      </c>
      <c r="O132" s="265"/>
      <c r="P132" s="265"/>
      <c r="Q132" s="265"/>
      <c r="R132" s="265"/>
      <c r="S132" s="263"/>
    </row>
    <row r="133" spans="1:19" ht="24.75" customHeight="1">
      <c r="A133" s="630" t="s">
        <v>228</v>
      </c>
      <c r="B133" s="630"/>
      <c r="C133" s="630"/>
      <c r="D133" s="630"/>
      <c r="E133" s="630"/>
      <c r="F133" s="630"/>
      <c r="G133" s="630"/>
      <c r="H133" s="630"/>
      <c r="I133" s="630"/>
      <c r="J133" s="630"/>
      <c r="K133" s="630"/>
      <c r="L133" s="630"/>
      <c r="M133" s="349" t="e">
        <f>IF(M136&gt;20%,"да","нет")</f>
        <v>#DIV/0!</v>
      </c>
      <c r="N133" s="250" t="s">
        <v>225</v>
      </c>
      <c r="O133" s="265"/>
      <c r="P133" s="265"/>
      <c r="Q133" s="265"/>
      <c r="R133" s="265"/>
      <c r="S133" s="263"/>
    </row>
    <row r="134" spans="1:19" ht="24.75" customHeight="1">
      <c r="A134" s="630" t="s">
        <v>231</v>
      </c>
      <c r="B134" s="630"/>
      <c r="C134" s="630"/>
      <c r="D134" s="630"/>
      <c r="E134" s="630"/>
      <c r="F134" s="630"/>
      <c r="G134" s="630"/>
      <c r="H134" s="630"/>
      <c r="I134" s="630"/>
      <c r="J134" s="630"/>
      <c r="K134" s="630"/>
      <c r="L134" s="630"/>
      <c r="M134" s="364"/>
      <c r="N134" s="250" t="s">
        <v>226</v>
      </c>
      <c r="O134" s="265"/>
      <c r="P134" s="265"/>
      <c r="Q134" s="265"/>
      <c r="R134" s="265"/>
      <c r="S134" s="263"/>
    </row>
    <row r="135" spans="1:19" ht="24.75" customHeight="1">
      <c r="A135" s="630" t="s">
        <v>230</v>
      </c>
      <c r="B135" s="630"/>
      <c r="C135" s="630"/>
      <c r="D135" s="630"/>
      <c r="E135" s="630"/>
      <c r="F135" s="630"/>
      <c r="G135" s="630"/>
      <c r="H135" s="630"/>
      <c r="I135" s="630"/>
      <c r="J135" s="630"/>
      <c r="K135" s="630"/>
      <c r="L135" s="630"/>
      <c r="M135" s="390">
        <f>J114</f>
        <v>0</v>
      </c>
      <c r="N135" s="265"/>
      <c r="O135" s="265"/>
      <c r="P135" s="265"/>
      <c r="Q135" s="265"/>
      <c r="R135" s="265"/>
      <c r="S135" s="263"/>
    </row>
    <row r="136" spans="1:19" ht="24.75" customHeight="1">
      <c r="A136" s="630" t="s">
        <v>229</v>
      </c>
      <c r="B136" s="630"/>
      <c r="C136" s="630"/>
      <c r="D136" s="630"/>
      <c r="E136" s="630"/>
      <c r="F136" s="630"/>
      <c r="G136" s="630"/>
      <c r="H136" s="630"/>
      <c r="I136" s="630"/>
      <c r="J136" s="630"/>
      <c r="K136" s="630"/>
      <c r="L136" s="630"/>
      <c r="M136" s="350" t="e">
        <f>M135/M134</f>
        <v>#DIV/0!</v>
      </c>
      <c r="N136" s="265"/>
      <c r="O136" s="265"/>
      <c r="P136" s="265"/>
      <c r="Q136" s="265"/>
      <c r="R136" s="265"/>
      <c r="S136" s="263"/>
    </row>
    <row r="137" spans="1:19" ht="31.5" customHeight="1">
      <c r="A137" s="631"/>
      <c r="B137" s="631"/>
      <c r="C137" s="631"/>
      <c r="D137" s="631"/>
      <c r="E137" s="631"/>
      <c r="F137" s="631"/>
      <c r="G137" s="631"/>
      <c r="H137" s="631"/>
      <c r="I137" s="631"/>
      <c r="J137" s="631"/>
      <c r="K137" s="631"/>
      <c r="L137" s="631"/>
      <c r="M137" s="631"/>
      <c r="N137" s="249"/>
    </row>
    <row r="138" spans="1:19" ht="26.25">
      <c r="A138" s="570" t="s">
        <v>48</v>
      </c>
      <c r="B138" s="570"/>
      <c r="C138" s="570"/>
      <c r="D138" s="570"/>
      <c r="E138" s="570"/>
      <c r="F138" s="570"/>
      <c r="G138" s="570"/>
      <c r="H138" s="570"/>
      <c r="I138" s="570"/>
      <c r="J138" s="570"/>
      <c r="K138" s="570"/>
      <c r="L138" s="570"/>
      <c r="M138" s="570"/>
      <c r="N138" s="249" t="s">
        <v>393</v>
      </c>
    </row>
    <row r="139" spans="1:19" ht="47.25" customHeight="1">
      <c r="A139" s="571" t="s">
        <v>204</v>
      </c>
      <c r="B139" s="572"/>
      <c r="C139" s="572"/>
      <c r="D139" s="572"/>
      <c r="E139" s="572"/>
      <c r="F139" s="572"/>
      <c r="G139" s="572"/>
      <c r="H139" s="573"/>
      <c r="I139" s="569" t="e">
        <f>IF(AND(E11="Подзарядка",N35="соотв",,N103="соотв",N107="соотв"),"кредитоспособным",IF(AND(E11="Быстрое решение",N35="соотв",N49="соотв",N103="соотв",N107="соотв"),"кредитоспособным",IF(AND(E11="Кредитный экспресс",N35="соотв",N68="соотв",N103="соотв",N107="соотв",N120="соотв"),"кредитоспособным",IF(AND(E11="Так просто",N35="соотв",N84="соотв",N103="соотв",O20="мал"),"кредитоспособным",IF(AND(E11="Так просто",N35="соотв",N84="соотв",N103="соотв",N107="соотв",O20="стандарт",N120="соотв"),"кредитоспособным",IF(AND(E11="Просто авто",N35="соотв",N92="соотв",N103="соотв",N107="соотв"),"кредитоспособным","некредитоспособным"))))))</f>
        <v>#DIV/0!</v>
      </c>
      <c r="J139" s="569"/>
      <c r="K139" s="569"/>
      <c r="L139" s="569"/>
      <c r="M139" s="569"/>
      <c r="N139" s="250" t="s">
        <v>434</v>
      </c>
    </row>
    <row r="140" spans="1:19">
      <c r="A140" s="568"/>
      <c r="B140" s="568"/>
      <c r="C140" s="568"/>
      <c r="D140" s="568"/>
      <c r="E140" s="568"/>
      <c r="F140" s="568"/>
      <c r="G140" s="568"/>
      <c r="H140" s="568"/>
      <c r="I140" s="568"/>
      <c r="J140" s="568"/>
      <c r="K140" s="568"/>
      <c r="L140" s="568"/>
      <c r="M140" s="568"/>
      <c r="N140" s="250" t="s">
        <v>435</v>
      </c>
    </row>
    <row r="141" spans="1:19" ht="24.75" customHeight="1">
      <c r="A141" s="576" t="s">
        <v>503</v>
      </c>
      <c r="B141" s="576"/>
      <c r="C141" s="576"/>
      <c r="D141" s="576"/>
      <c r="E141" s="576"/>
      <c r="F141" s="576"/>
      <c r="G141" s="576"/>
      <c r="H141" s="235"/>
      <c r="I141" s="235"/>
      <c r="J141" s="567" t="s">
        <v>36</v>
      </c>
      <c r="K141" s="567"/>
      <c r="L141" s="347"/>
      <c r="M141" s="347"/>
      <c r="N141" s="250" t="s">
        <v>226</v>
      </c>
      <c r="Q141" s="236"/>
    </row>
    <row r="142" spans="1:19" ht="27" customHeight="1">
      <c r="A142" s="574" t="s">
        <v>504</v>
      </c>
      <c r="B142" s="574"/>
      <c r="C142" s="574"/>
      <c r="D142" s="574"/>
      <c r="E142" s="574"/>
      <c r="F142" s="574"/>
      <c r="G142" s="574"/>
      <c r="H142" s="237"/>
      <c r="I142" s="237"/>
      <c r="J142" s="567" t="s">
        <v>36</v>
      </c>
      <c r="K142" s="567"/>
      <c r="L142" s="575"/>
      <c r="M142" s="575"/>
    </row>
    <row r="143" spans="1:19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M143" s="195"/>
    </row>
    <row r="144" spans="1:19" ht="26.25">
      <c r="G144" s="221"/>
    </row>
  </sheetData>
  <protectedRanges>
    <protectedRange algorithmName="SHA-512" hashValue="2QBQkl9Z+UUtoCzjpT6qILMwEqRNuBz03J1P3RVf3/7Gp9BnHsQPBhgDoeBvUPLeq1PG53k74ym/nqKaFYFuaA==" saltValue="yUaOMFn77Lew8tokCbv18w==" spinCount="100000" sqref="I46:K47 I56:K57" name="обороты"/>
  </protectedRanges>
  <mergeCells count="241">
    <mergeCell ref="A136:L136"/>
    <mergeCell ref="A137:M137"/>
    <mergeCell ref="A131:M131"/>
    <mergeCell ref="A132:L132"/>
    <mergeCell ref="A133:L133"/>
    <mergeCell ref="A134:L134"/>
    <mergeCell ref="A135:L135"/>
    <mergeCell ref="A116:D116"/>
    <mergeCell ref="A119:D119"/>
    <mergeCell ref="A117:D117"/>
    <mergeCell ref="A118:D118"/>
    <mergeCell ref="H116:J116"/>
    <mergeCell ref="H117:J117"/>
    <mergeCell ref="H118:J118"/>
    <mergeCell ref="H119:J119"/>
    <mergeCell ref="A125:L125"/>
    <mergeCell ref="A126:L126"/>
    <mergeCell ref="A127:L127"/>
    <mergeCell ref="A128:L128"/>
    <mergeCell ref="A129:L129"/>
    <mergeCell ref="A130:M130"/>
    <mergeCell ref="A120:E120"/>
    <mergeCell ref="A121:H121"/>
    <mergeCell ref="A123:H123"/>
    <mergeCell ref="K1:M1"/>
    <mergeCell ref="P121:R121"/>
    <mergeCell ref="A124:M124"/>
    <mergeCell ref="A10:M10"/>
    <mergeCell ref="P3:R8"/>
    <mergeCell ref="E13:M13"/>
    <mergeCell ref="A21:D21"/>
    <mergeCell ref="I47:K47"/>
    <mergeCell ref="L47:M47"/>
    <mergeCell ref="P87:R87"/>
    <mergeCell ref="A69:E69"/>
    <mergeCell ref="G69:J69"/>
    <mergeCell ref="K69:L69"/>
    <mergeCell ref="P69:R69"/>
    <mergeCell ref="A70:E70"/>
    <mergeCell ref="P70:R70"/>
    <mergeCell ref="A86:E86"/>
    <mergeCell ref="G86:J86"/>
    <mergeCell ref="K86:L86"/>
    <mergeCell ref="P86:R86"/>
    <mergeCell ref="P83:R83"/>
    <mergeCell ref="A73:M73"/>
    <mergeCell ref="P84:R84"/>
    <mergeCell ref="A38:D38"/>
    <mergeCell ref="E38:M38"/>
    <mergeCell ref="A40:D40"/>
    <mergeCell ref="E40:M40"/>
    <mergeCell ref="A43:F43"/>
    <mergeCell ref="G43:H44"/>
    <mergeCell ref="A114:D114"/>
    <mergeCell ref="E114:F114"/>
    <mergeCell ref="G114:I114"/>
    <mergeCell ref="J114:K114"/>
    <mergeCell ref="A68:E68"/>
    <mergeCell ref="G79:J79"/>
    <mergeCell ref="K79:L79"/>
    <mergeCell ref="A89:M89"/>
    <mergeCell ref="A97:L97"/>
    <mergeCell ref="A98:L98"/>
    <mergeCell ref="A99:L99"/>
    <mergeCell ref="A67:E67"/>
    <mergeCell ref="G67:J67"/>
    <mergeCell ref="K67:L67"/>
    <mergeCell ref="A80:E80"/>
    <mergeCell ref="G80:J80"/>
    <mergeCell ref="K80:L80"/>
    <mergeCell ref="G81:J81"/>
    <mergeCell ref="K81:L81"/>
    <mergeCell ref="A2:M2"/>
    <mergeCell ref="A4:B4"/>
    <mergeCell ref="A27:D27"/>
    <mergeCell ref="E27:M27"/>
    <mergeCell ref="A46:H46"/>
    <mergeCell ref="I46:K46"/>
    <mergeCell ref="L46:M46"/>
    <mergeCell ref="A6:D6"/>
    <mergeCell ref="E6:M6"/>
    <mergeCell ref="A31:D31"/>
    <mergeCell ref="E31:M31"/>
    <mergeCell ref="A33:D33"/>
    <mergeCell ref="E33:M33"/>
    <mergeCell ref="A29:D29"/>
    <mergeCell ref="E29:M29"/>
    <mergeCell ref="A35:D35"/>
    <mergeCell ref="E35:M35"/>
    <mergeCell ref="A15:D15"/>
    <mergeCell ref="A25:D25"/>
    <mergeCell ref="F25:M25"/>
    <mergeCell ref="A11:D11"/>
    <mergeCell ref="A17:D17"/>
    <mergeCell ref="E17:M17"/>
    <mergeCell ref="A19:D19"/>
    <mergeCell ref="A8:D8"/>
    <mergeCell ref="E8:M8"/>
    <mergeCell ref="F21:M21"/>
    <mergeCell ref="G49:J49"/>
    <mergeCell ref="K49:L49"/>
    <mergeCell ref="A72:M72"/>
    <mergeCell ref="G61:J61"/>
    <mergeCell ref="P67:R67"/>
    <mergeCell ref="P68:R68"/>
    <mergeCell ref="P49:R49"/>
    <mergeCell ref="P46:R47"/>
    <mergeCell ref="G15:M15"/>
    <mergeCell ref="A47:H47"/>
    <mergeCell ref="F23:M23"/>
    <mergeCell ref="E19:M19"/>
    <mergeCell ref="A13:D13"/>
    <mergeCell ref="A50:E50"/>
    <mergeCell ref="A49:E49"/>
    <mergeCell ref="K61:L61"/>
    <mergeCell ref="E11:M11"/>
    <mergeCell ref="E15:F15"/>
    <mergeCell ref="A23:D23"/>
    <mergeCell ref="A36:D36"/>
    <mergeCell ref="E36:M36"/>
    <mergeCell ref="A83:E83"/>
    <mergeCell ref="A84:E84"/>
    <mergeCell ref="G84:J84"/>
    <mergeCell ref="K84:L84"/>
    <mergeCell ref="A82:E82"/>
    <mergeCell ref="G82:J82"/>
    <mergeCell ref="K82:L82"/>
    <mergeCell ref="A71:E71"/>
    <mergeCell ref="G71:J71"/>
    <mergeCell ref="K71:L71"/>
    <mergeCell ref="A81:E81"/>
    <mergeCell ref="A74:M74"/>
    <mergeCell ref="A75:M75"/>
    <mergeCell ref="A56:H56"/>
    <mergeCell ref="I56:K56"/>
    <mergeCell ref="L56:M56"/>
    <mergeCell ref="I43:K43"/>
    <mergeCell ref="L43:L44"/>
    <mergeCell ref="M43:M44"/>
    <mergeCell ref="A45:B45"/>
    <mergeCell ref="G45:H45"/>
    <mergeCell ref="A44:B44"/>
    <mergeCell ref="A53:F53"/>
    <mergeCell ref="G53:H54"/>
    <mergeCell ref="I53:K53"/>
    <mergeCell ref="L53:L54"/>
    <mergeCell ref="M53:M54"/>
    <mergeCell ref="J141:K141"/>
    <mergeCell ref="J142:K142"/>
    <mergeCell ref="A140:H140"/>
    <mergeCell ref="I140:M140"/>
    <mergeCell ref="I139:M139"/>
    <mergeCell ref="A138:M138"/>
    <mergeCell ref="A139:H139"/>
    <mergeCell ref="A142:G142"/>
    <mergeCell ref="L142:M142"/>
    <mergeCell ref="A141:G141"/>
    <mergeCell ref="P71:R71"/>
    <mergeCell ref="A105:M105"/>
    <mergeCell ref="A106:B106"/>
    <mergeCell ref="C106:H106"/>
    <mergeCell ref="I106:K106"/>
    <mergeCell ref="A100:L100"/>
    <mergeCell ref="A101:L101"/>
    <mergeCell ref="A102:L102"/>
    <mergeCell ref="A96:M96"/>
    <mergeCell ref="A104:M104"/>
    <mergeCell ref="A103:L103"/>
    <mergeCell ref="A79:E79"/>
    <mergeCell ref="A78:E78"/>
    <mergeCell ref="G78:J78"/>
    <mergeCell ref="K78:L78"/>
    <mergeCell ref="A88:M88"/>
    <mergeCell ref="A85:E85"/>
    <mergeCell ref="P85:R85"/>
    <mergeCell ref="P82:R82"/>
    <mergeCell ref="P95:R95"/>
    <mergeCell ref="A92:E92"/>
    <mergeCell ref="G92:J92"/>
    <mergeCell ref="K92:L92"/>
    <mergeCell ref="P92:R92"/>
    <mergeCell ref="P66:R66"/>
    <mergeCell ref="A54:B54"/>
    <mergeCell ref="A55:B55"/>
    <mergeCell ref="P60:S60"/>
    <mergeCell ref="A65:E65"/>
    <mergeCell ref="G65:J65"/>
    <mergeCell ref="K65:L65"/>
    <mergeCell ref="A66:E66"/>
    <mergeCell ref="P50:R50"/>
    <mergeCell ref="A61:E61"/>
    <mergeCell ref="A62:E62"/>
    <mergeCell ref="G62:J62"/>
    <mergeCell ref="K62:L62"/>
    <mergeCell ref="G64:J64"/>
    <mergeCell ref="K64:L64"/>
    <mergeCell ref="A63:E63"/>
    <mergeCell ref="G63:J63"/>
    <mergeCell ref="K63:L63"/>
    <mergeCell ref="A64:E64"/>
    <mergeCell ref="P56:R57"/>
    <mergeCell ref="A57:H57"/>
    <mergeCell ref="I57:K57"/>
    <mergeCell ref="L57:M57"/>
    <mergeCell ref="G55:H55"/>
    <mergeCell ref="P93:R93"/>
    <mergeCell ref="A95:M95"/>
    <mergeCell ref="A94:E94"/>
    <mergeCell ref="P94:R94"/>
    <mergeCell ref="A87:E87"/>
    <mergeCell ref="L121:M121"/>
    <mergeCell ref="A122:H122"/>
    <mergeCell ref="I122:K122"/>
    <mergeCell ref="L122:M122"/>
    <mergeCell ref="A107:B107"/>
    <mergeCell ref="C107:H107"/>
    <mergeCell ref="I107:K107"/>
    <mergeCell ref="A109:M109"/>
    <mergeCell ref="A110:D110"/>
    <mergeCell ref="E110:F110"/>
    <mergeCell ref="G110:I110"/>
    <mergeCell ref="J110:K110"/>
    <mergeCell ref="A108:M108"/>
    <mergeCell ref="I121:K121"/>
    <mergeCell ref="A115:D115"/>
    <mergeCell ref="H115:J115"/>
    <mergeCell ref="A93:E93"/>
    <mergeCell ref="I123:K123"/>
    <mergeCell ref="L123:M123"/>
    <mergeCell ref="A111:D111"/>
    <mergeCell ref="E111:F111"/>
    <mergeCell ref="G111:I111"/>
    <mergeCell ref="J111:K111"/>
    <mergeCell ref="A112:D112"/>
    <mergeCell ref="E112:F112"/>
    <mergeCell ref="G112:I112"/>
    <mergeCell ref="J112:K112"/>
    <mergeCell ref="A113:D113"/>
    <mergeCell ref="E113:F113"/>
    <mergeCell ref="G113:I113"/>
    <mergeCell ref="J113:K113"/>
  </mergeCells>
  <conditionalFormatting sqref="D4">
    <cfRule type="containsBlanks" dxfId="144" priority="108">
      <formula>LEN(TRIM(D4))=0</formula>
    </cfRule>
  </conditionalFormatting>
  <conditionalFormatting sqref="F4">
    <cfRule type="containsBlanks" dxfId="143" priority="107">
      <formula>LEN(TRIM(F4))=0</formula>
    </cfRule>
  </conditionalFormatting>
  <conditionalFormatting sqref="E27:M27 E33:M33 E31:M31 F50 K49 K119 H119">
    <cfRule type="containsBlanks" dxfId="142" priority="105">
      <formula>LEN(TRIM(E27))=0</formula>
    </cfRule>
  </conditionalFormatting>
  <conditionalFormatting sqref="J141:K141">
    <cfRule type="containsText" dxfId="141" priority="99" operator="containsText" text="И.О. Фамилия">
      <formula>NOT(ISERROR(SEARCH("И.О. Фамилия",J141)))</formula>
    </cfRule>
  </conditionalFormatting>
  <conditionalFormatting sqref="J142:K142">
    <cfRule type="containsText" dxfId="140" priority="98" operator="containsText" text="И.О. Фамилия">
      <formula>NOT(ISERROR(SEARCH("И.О. Фамилия",J142)))</formula>
    </cfRule>
  </conditionalFormatting>
  <conditionalFormatting sqref="H4">
    <cfRule type="containsBlanks" dxfId="139" priority="92">
      <formula>LEN(TRIM(H4))=0</formula>
    </cfRule>
  </conditionalFormatting>
  <conditionalFormatting sqref="E29:M29">
    <cfRule type="containsBlanks" dxfId="138" priority="89">
      <formula>LEN(TRIM(E29))=0</formula>
    </cfRule>
  </conditionalFormatting>
  <conditionalFormatting sqref="E35:M35">
    <cfRule type="containsBlanks" dxfId="137" priority="87">
      <formula>LEN(TRIM(E35))=0</formula>
    </cfRule>
  </conditionalFormatting>
  <conditionalFormatting sqref="E15">
    <cfRule type="containsBlanks" dxfId="136" priority="81">
      <formula>LEN(TRIM(E15))=0</formula>
    </cfRule>
  </conditionalFormatting>
  <conditionalFormatting sqref="E11:M11">
    <cfRule type="containsBlanks" dxfId="135" priority="80">
      <formula>LEN(TRIM(E11))=0</formula>
    </cfRule>
  </conditionalFormatting>
  <conditionalFormatting sqref="E17:M17">
    <cfRule type="containsBlanks" dxfId="134" priority="79">
      <formula>LEN(TRIM(E17))=0</formula>
    </cfRule>
  </conditionalFormatting>
  <conditionalFormatting sqref="E19:M19">
    <cfRule type="containsBlanks" dxfId="133" priority="78">
      <formula>LEN(TRIM(E19))=0</formula>
    </cfRule>
  </conditionalFormatting>
  <conditionalFormatting sqref="E13:M13">
    <cfRule type="containsBlanks" dxfId="132" priority="77">
      <formula>LEN(TRIM(E13))=0</formula>
    </cfRule>
  </conditionalFormatting>
  <conditionalFormatting sqref="E21:F21">
    <cfRule type="containsBlanks" dxfId="131" priority="76">
      <formula>LEN(TRIM(E21))=0</formula>
    </cfRule>
  </conditionalFormatting>
  <conditionalFormatting sqref="E23:F23">
    <cfRule type="containsBlanks" dxfId="130" priority="75">
      <formula>LEN(TRIM(E23))=0</formula>
    </cfRule>
  </conditionalFormatting>
  <conditionalFormatting sqref="F66">
    <cfRule type="containsBlanks" dxfId="129" priority="72">
      <formula>LEN(TRIM(F66))=0</formula>
    </cfRule>
  </conditionalFormatting>
  <conditionalFormatting sqref="K61">
    <cfRule type="containsBlanks" dxfId="128" priority="70">
      <formula>LEN(TRIM(K61))=0</formula>
    </cfRule>
  </conditionalFormatting>
  <conditionalFormatting sqref="K62">
    <cfRule type="containsBlanks" dxfId="127" priority="69">
      <formula>LEN(TRIM(K62))=0</formula>
    </cfRule>
  </conditionalFormatting>
  <conditionalFormatting sqref="K63">
    <cfRule type="containsBlanks" dxfId="126" priority="68">
      <formula>LEN(TRIM(K63))=0</formula>
    </cfRule>
  </conditionalFormatting>
  <conditionalFormatting sqref="K64">
    <cfRule type="containsBlanks" dxfId="125" priority="67">
      <formula>LEN(TRIM(K64))=0</formula>
    </cfRule>
  </conditionalFormatting>
  <conditionalFormatting sqref="E25:F25">
    <cfRule type="containsBlanks" dxfId="124" priority="66">
      <formula>LEN(TRIM(E25))=0</formula>
    </cfRule>
  </conditionalFormatting>
  <conditionalFormatting sqref="F68 K67">
    <cfRule type="containsBlanks" dxfId="123" priority="65">
      <formula>LEN(TRIM(F67))=0</formula>
    </cfRule>
  </conditionalFormatting>
  <conditionalFormatting sqref="K82">
    <cfRule type="containsBlanks" dxfId="122" priority="61">
      <formula>LEN(TRIM(K82))=0</formula>
    </cfRule>
  </conditionalFormatting>
  <conditionalFormatting sqref="K78">
    <cfRule type="containsBlanks" dxfId="121" priority="60">
      <formula>LEN(TRIM(K78))=0</formula>
    </cfRule>
  </conditionalFormatting>
  <conditionalFormatting sqref="K79">
    <cfRule type="containsBlanks" dxfId="120" priority="59">
      <formula>LEN(TRIM(K79))=0</formula>
    </cfRule>
  </conditionalFormatting>
  <conditionalFormatting sqref="K80">
    <cfRule type="containsBlanks" dxfId="119" priority="58">
      <formula>LEN(TRIM(K80))=0</formula>
    </cfRule>
  </conditionalFormatting>
  <conditionalFormatting sqref="K81">
    <cfRule type="containsBlanks" dxfId="118" priority="57">
      <formula>LEN(TRIM(K81))=0</formula>
    </cfRule>
  </conditionalFormatting>
  <conditionalFormatting sqref="K84">
    <cfRule type="containsBlanks" dxfId="117" priority="56">
      <formula>LEN(TRIM(K84))=0</formula>
    </cfRule>
  </conditionalFormatting>
  <conditionalFormatting sqref="F83">
    <cfRule type="containsBlanks" dxfId="116" priority="53">
      <formula>LEN(TRIM(F83))=0</formula>
    </cfRule>
  </conditionalFormatting>
  <conditionalFormatting sqref="F85">
    <cfRule type="containsBlanks" dxfId="115" priority="38">
      <formula>LEN(TRIM(F85))=0</formula>
    </cfRule>
    <cfRule type="containsBlanks" dxfId="114" priority="52">
      <formula>LEN(TRIM(F85))=0</formula>
    </cfRule>
  </conditionalFormatting>
  <conditionalFormatting sqref="K92">
    <cfRule type="containsBlanks" dxfId="113" priority="49">
      <formula>LEN(TRIM(K92))=0</formula>
    </cfRule>
  </conditionalFormatting>
  <conditionalFormatting sqref="F93:F94">
    <cfRule type="containsBlanks" dxfId="112" priority="43">
      <formula>LEN(TRIM(F93))=0</formula>
    </cfRule>
  </conditionalFormatting>
  <conditionalFormatting sqref="F50">
    <cfRule type="containsBlanks" dxfId="111" priority="41">
      <formula>LEN(TRIM(F50))=0</formula>
    </cfRule>
  </conditionalFormatting>
  <conditionalFormatting sqref="F68">
    <cfRule type="containsBlanks" dxfId="110" priority="40">
      <formula>LEN(TRIM(F68))=0</formula>
    </cfRule>
  </conditionalFormatting>
  <conditionalFormatting sqref="F94">
    <cfRule type="cellIs" dxfId="109" priority="37" operator="equal">
      <formula>" "</formula>
    </cfRule>
  </conditionalFormatting>
  <conditionalFormatting sqref="L107">
    <cfRule type="cellIs" dxfId="108" priority="34" operator="equal">
      <formula>" "</formula>
    </cfRule>
    <cfRule type="containsBlanks" dxfId="107" priority="36">
      <formula>LEN(TRIM(L107))=0</formula>
    </cfRule>
  </conditionalFormatting>
  <conditionalFormatting sqref="I121:K121">
    <cfRule type="containsBlanks" dxfId="106" priority="33">
      <formula>LEN(TRIM(I121))=0</formula>
    </cfRule>
  </conditionalFormatting>
  <conditionalFormatting sqref="I122:K122">
    <cfRule type="containsBlanks" dxfId="105" priority="32">
      <formula>LEN(TRIM(I122))=0</formula>
    </cfRule>
  </conditionalFormatting>
  <conditionalFormatting sqref="M97:M103">
    <cfRule type="containsBlanks" dxfId="104" priority="30">
      <formula>LEN(TRIM(M97))=0</formula>
    </cfRule>
  </conditionalFormatting>
  <conditionalFormatting sqref="M125">
    <cfRule type="containsBlanks" dxfId="103" priority="28">
      <formula>LEN(TRIM(M125))=0</formula>
    </cfRule>
  </conditionalFormatting>
  <conditionalFormatting sqref="M127">
    <cfRule type="containsBlanks" dxfId="102" priority="27">
      <formula>LEN(TRIM(M127))=0</formula>
    </cfRule>
  </conditionalFormatting>
  <conditionalFormatting sqref="A130:M130">
    <cfRule type="containsBlanks" dxfId="101" priority="26">
      <formula>LEN(TRIM(A130))=0</formula>
    </cfRule>
  </conditionalFormatting>
  <conditionalFormatting sqref="A111:L113">
    <cfRule type="containsBlanks" dxfId="100" priority="25">
      <formula>LEN(TRIM(A111))=0</formula>
    </cfRule>
  </conditionalFormatting>
  <conditionalFormatting sqref="A114:D114 J114:K114 A115:A116 K116:K118">
    <cfRule type="containsBlanks" dxfId="99" priority="24">
      <formula>LEN(TRIM(A114))=0</formula>
    </cfRule>
  </conditionalFormatting>
  <conditionalFormatting sqref="H115">
    <cfRule type="containsBlanks" dxfId="98" priority="23">
      <formula>LEN(TRIM(H115))=0</formula>
    </cfRule>
  </conditionalFormatting>
  <conditionalFormatting sqref="A119:D119">
    <cfRule type="containsBlanks" dxfId="97" priority="22">
      <formula>LEN(TRIM(A119))=0</formula>
    </cfRule>
  </conditionalFormatting>
  <conditionalFormatting sqref="A117:A118">
    <cfRule type="containsBlanks" dxfId="96" priority="21">
      <formula>LEN(TRIM(A117))=0</formula>
    </cfRule>
  </conditionalFormatting>
  <conditionalFormatting sqref="E116:E118">
    <cfRule type="containsBlanks" dxfId="95" priority="20">
      <formula>LEN(TRIM(E116))=0</formula>
    </cfRule>
  </conditionalFormatting>
  <conditionalFormatting sqref="M132">
    <cfRule type="containsBlanks" dxfId="94" priority="19">
      <formula>LEN(TRIM(M132))=0</formula>
    </cfRule>
  </conditionalFormatting>
  <conditionalFormatting sqref="M134">
    <cfRule type="containsBlanks" dxfId="93" priority="18">
      <formula>LEN(TRIM(M134))=0</formula>
    </cfRule>
  </conditionalFormatting>
  <conditionalFormatting sqref="A137:M137">
    <cfRule type="containsBlanks" dxfId="92" priority="17">
      <formula>LEN(TRIM(A137))=0</formula>
    </cfRule>
  </conditionalFormatting>
  <conditionalFormatting sqref="E40:M40">
    <cfRule type="containsBlanks" dxfId="91" priority="15">
      <formula>LEN(TRIM(E40))=0</formula>
    </cfRule>
  </conditionalFormatting>
  <conditionalFormatting sqref="F70 K69">
    <cfRule type="containsBlanks" dxfId="90" priority="13">
      <formula>LEN(TRIM(F69))=0</formula>
    </cfRule>
  </conditionalFormatting>
  <conditionalFormatting sqref="E38:M38 E36:M36">
    <cfRule type="containsBlanks" dxfId="89" priority="16">
      <formula>LEN(TRIM(E36))=0</formula>
    </cfRule>
  </conditionalFormatting>
  <conditionalFormatting sqref="F70">
    <cfRule type="containsBlanks" dxfId="88" priority="12">
      <formula>LEN(TRIM(F70))=0</formula>
    </cfRule>
  </conditionalFormatting>
  <conditionalFormatting sqref="F87">
    <cfRule type="containsBlanks" dxfId="87" priority="10">
      <formula>LEN(TRIM(F87))=0</formula>
    </cfRule>
  </conditionalFormatting>
  <conditionalFormatting sqref="F87 K86">
    <cfRule type="containsBlanks" dxfId="86" priority="11">
      <formula>LEN(TRIM(F86))=0</formula>
    </cfRule>
  </conditionalFormatting>
  <conditionalFormatting sqref="K65">
    <cfRule type="containsBlanks" dxfId="85" priority="9">
      <formula>LEN(TRIM(K65))=0</formula>
    </cfRule>
  </conditionalFormatting>
  <conditionalFormatting sqref="C45:F45">
    <cfRule type="containsBlanks" dxfId="84" priority="8">
      <formula>LEN(TRIM(C45))=0</formula>
    </cfRule>
  </conditionalFormatting>
  <conditionalFormatting sqref="K71">
    <cfRule type="containsBlanks" dxfId="83" priority="7">
      <formula>LEN(TRIM(K71))=0</formula>
    </cfRule>
  </conditionalFormatting>
  <conditionalFormatting sqref="C55:F55">
    <cfRule type="containsBlanks" dxfId="82" priority="4">
      <formula>LEN(TRIM(C55))=0</formula>
    </cfRule>
  </conditionalFormatting>
  <conditionalFormatting sqref="L3">
    <cfRule type="containsBlanks" dxfId="81" priority="3">
      <formula>LEN(TRIM(L3))=0</formula>
    </cfRule>
  </conditionalFormatting>
  <conditionalFormatting sqref="L106">
    <cfRule type="cellIs" dxfId="80" priority="1" operator="equal">
      <formula>" "</formula>
    </cfRule>
    <cfRule type="containsBlanks" dxfId="79" priority="2">
      <formula>LEN(TRIM(L106))=0</formula>
    </cfRule>
  </conditionalFormatting>
  <dataValidations count="11">
    <dataValidation type="list" allowBlank="1" showInputMessage="1" showErrorMessage="1" sqref="E33:M33 E27:M27 E38:M38">
      <formula1>"подтверждена, не подтверждена"</formula1>
    </dataValidation>
    <dataValidation type="list" allowBlank="1" showInputMessage="1" showErrorMessage="1" sqref="E29:M29 E35:M35 E40:M40">
      <formula1>"кредитонадежен,некредитонадежен"</formula1>
    </dataValidation>
    <dataValidation operator="lessThanOrEqual" allowBlank="1" showInputMessage="1" showErrorMessage="1" sqref="I122:K123"/>
    <dataValidation type="list" allowBlank="1" showInputMessage="1" showErrorMessage="1" sqref="M97:M98">
      <formula1>"да,нет,не оценивается"</formula1>
    </dataValidation>
    <dataValidation type="list" allowBlank="1" showInputMessage="1" showErrorMessage="1" sqref="M99:M102">
      <formula1>"имеется,отсутствует"</formula1>
    </dataValidation>
    <dataValidation type="list" allowBlank="1" showInputMessage="1" showErrorMessage="1" sqref="M103:M105">
      <formula1>"имеются,отсутствуют"</formula1>
    </dataValidation>
    <dataValidation type="list" allowBlank="1" showInputMessage="1" showErrorMessage="1" sqref="A142:G142">
      <formula1>"Начальник ОКФ,И.о. начальника ОКФ"</formula1>
    </dataValidation>
    <dataValidation type="list" allowBlank="1" showInputMessage="1" showErrorMessage="1" sqref="P122:P123 M125 M132">
      <formula1>"да,нет"</formula1>
    </dataValidation>
    <dataValidation type="list" allowBlank="1" showInputMessage="1" showErrorMessage="1" sqref="A137:M137">
      <formula1>$N$138:$N$141</formula1>
    </dataValidation>
    <dataValidation type="list" allowBlank="1" showInputMessage="1" showErrorMessage="1" sqref="A130:M130">
      <formula1>$N$130:$N$134</formula1>
    </dataValidation>
    <dataValidation type="list" allowBlank="1" showInputMessage="1" showErrorMessage="1" sqref="A141:G141">
      <formula1>"Специалист ОКФ,Ведущий специалист ОКФ,Главный специалист ОКФ"</formula1>
    </dataValidation>
  </dataValidations>
  <pageMargins left="0.7" right="0.7" top="0.75" bottom="0.75" header="0.3" footer="0.3"/>
  <pageSetup paperSize="9" scale="65" fitToHeight="0" orientation="portrait" r:id="rId1"/>
  <rowBreaks count="1" manualBreakCount="1">
    <brk id="57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M56"/>
  <sheetViews>
    <sheetView view="pageBreakPreview" topLeftCell="A38" zoomScaleNormal="100" zoomScaleSheetLayoutView="100" workbookViewId="0">
      <selection activeCell="F37" sqref="F37:L37"/>
    </sheetView>
  </sheetViews>
  <sheetFormatPr defaultRowHeight="15"/>
  <cols>
    <col min="1" max="1" width="4" customWidth="1"/>
    <col min="3" max="3" width="5.7109375" customWidth="1"/>
    <col min="4" max="4" width="7.7109375" customWidth="1"/>
    <col min="5" max="5" width="17.85546875" customWidth="1"/>
    <col min="6" max="6" width="3.140625" customWidth="1"/>
    <col min="7" max="7" width="12.42578125" customWidth="1"/>
    <col min="8" max="8" width="2.85546875" customWidth="1"/>
    <col min="11" max="11" width="3.140625" customWidth="1"/>
    <col min="12" max="12" width="14.140625" customWidth="1"/>
  </cols>
  <sheetData>
    <row r="2" spans="2:13" ht="18.75">
      <c r="B2" s="649"/>
      <c r="C2" s="650"/>
      <c r="D2" s="650"/>
      <c r="E2" s="650"/>
      <c r="F2" s="650"/>
      <c r="G2" s="650"/>
      <c r="H2" s="650"/>
      <c r="I2" s="650"/>
      <c r="J2" s="650"/>
      <c r="K2" s="650"/>
      <c r="L2" s="650"/>
    </row>
    <row r="3" spans="2:13" ht="25.5" customHeight="1">
      <c r="B3" s="653" t="s">
        <v>220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</row>
    <row r="4" spans="2:13" ht="18.75">
      <c r="B4" s="140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 ht="18.75">
      <c r="B5" s="140" t="s">
        <v>92</v>
      </c>
      <c r="C5" s="1"/>
      <c r="D5" s="1"/>
      <c r="E5" s="700" t="s">
        <v>93</v>
      </c>
      <c r="F5" s="700"/>
      <c r="G5" s="131"/>
      <c r="H5" s="1"/>
      <c r="I5" s="1"/>
      <c r="J5" s="140" t="s">
        <v>94</v>
      </c>
      <c r="K5" s="654"/>
      <c r="L5" s="654"/>
    </row>
    <row r="6" spans="2:13" ht="18.75">
      <c r="B6" s="140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 ht="22.5" customHeight="1">
      <c r="B7" s="664" t="str">
        <f>IF(ISNUMBER(SEARCH("Малого",B2)),CONCATENATE("Опрошены члены Малого кредитного комитета, обладающие 3/5 голосов от общего количества членов комитета (три голоса из пяти возможных), при минимальном кворуме 3/5 ","(три голоса из пяти возможных) от общего количества избранных членов Малого кредитного комитета"),"Опрошены члены Кредитного комитета, обладающие 4/7 голосов от общего количества членов комитета (четре голоса из семи возможных), при минимальном кворуме 4/7 (четыре голоса из семи возможных) от общего количества избранных членов Кредитного комитета")</f>
        <v>Опрошены члены Кредитного комитета, обладающие 4/7 голосов от общего количества членов комитета (четре голоса из семи возможных), при минимальном кворуме 4/7 (четыре голоса из семи возможных) от общего количества избранных членов Кредитного комитета</v>
      </c>
      <c r="C7" s="665"/>
      <c r="D7" s="665"/>
      <c r="E7" s="666"/>
      <c r="F7" s="688" t="s">
        <v>397</v>
      </c>
      <c r="G7" s="689"/>
      <c r="H7" s="690"/>
      <c r="I7" s="682" t="str">
        <f>IF(ISNUMBER(SEARCH("Малого",$B$2)),"Рудая Т.Д. - Председатель Малого кредитного комитета","Будников С.Д. – Председатель Кредитного комитета")</f>
        <v>Будников С.Д. – Председатель Кредитного комитета</v>
      </c>
      <c r="J7" s="682"/>
      <c r="K7" s="682"/>
      <c r="L7" s="683"/>
    </row>
    <row r="8" spans="2:13" ht="15.75" customHeight="1">
      <c r="B8" s="667"/>
      <c r="C8" s="668"/>
      <c r="D8" s="668"/>
      <c r="E8" s="669"/>
      <c r="F8" s="691"/>
      <c r="G8" s="692"/>
      <c r="H8" s="693"/>
      <c r="I8" s="684"/>
      <c r="J8" s="684"/>
      <c r="K8" s="684"/>
      <c r="L8" s="685"/>
    </row>
    <row r="9" spans="2:13" ht="21" customHeight="1">
      <c r="B9" s="667"/>
      <c r="C9" s="668"/>
      <c r="D9" s="668"/>
      <c r="E9" s="669"/>
      <c r="F9" s="688" t="s">
        <v>397</v>
      </c>
      <c r="G9" s="689"/>
      <c r="H9" s="690"/>
      <c r="I9" s="686" t="str">
        <f>IF(ISNUMBER(SEARCH("Малого",$B$2)),"Химич М.А. - Заместитель Председателя Малого кредитного комитета","Химич М.А. – член Кредитного комитета")</f>
        <v>Химич М.А. – член Кредитного комитета</v>
      </c>
      <c r="J9" s="682"/>
      <c r="K9" s="682"/>
      <c r="L9" s="683"/>
    </row>
    <row r="10" spans="2:13" ht="24" customHeight="1">
      <c r="B10" s="667"/>
      <c r="C10" s="668"/>
      <c r="D10" s="668"/>
      <c r="E10" s="669"/>
      <c r="F10" s="691"/>
      <c r="G10" s="692"/>
      <c r="H10" s="693"/>
      <c r="I10" s="687"/>
      <c r="J10" s="684"/>
      <c r="K10" s="684"/>
      <c r="L10" s="685"/>
    </row>
    <row r="11" spans="2:13" ht="20.25" customHeight="1">
      <c r="B11" s="667"/>
      <c r="C11" s="668"/>
      <c r="D11" s="668"/>
      <c r="E11" s="669"/>
      <c r="F11" s="688" t="s">
        <v>397</v>
      </c>
      <c r="G11" s="689"/>
      <c r="H11" s="690"/>
      <c r="I11" s="686" t="str">
        <f>IF(ISNUMBER(SEARCH("Малого",$B$2)),"Ефимов Р.А. - член Малого кредитного комитета","Ефимов Р.А. – член Кредитного комитета")</f>
        <v>Ефимов Р.А. – член Кредитного комитета</v>
      </c>
      <c r="J11" s="682"/>
      <c r="K11" s="682"/>
      <c r="L11" s="683"/>
      <c r="M11" s="129"/>
    </row>
    <row r="12" spans="2:13" ht="18" customHeight="1">
      <c r="B12" s="667"/>
      <c r="C12" s="668"/>
      <c r="D12" s="668"/>
      <c r="E12" s="669"/>
      <c r="F12" s="691"/>
      <c r="G12" s="692"/>
      <c r="H12" s="693"/>
      <c r="I12" s="687"/>
      <c r="J12" s="684"/>
      <c r="K12" s="684"/>
      <c r="L12" s="685"/>
      <c r="M12" s="129"/>
    </row>
    <row r="13" spans="2:13" ht="19.5" customHeight="1">
      <c r="B13" s="667"/>
      <c r="C13" s="668"/>
      <c r="D13" s="668"/>
      <c r="E13" s="669"/>
      <c r="F13" s="688" t="str">
        <f>IF(I13=" "," ","опрошен")</f>
        <v>опрошен</v>
      </c>
      <c r="G13" s="689"/>
      <c r="H13" s="690"/>
      <c r="I13" s="686" t="str">
        <f>IF(ISNUMBER(SEARCH("Малого",$B$2))," ","Воробьев С.О. – член Кредитного комитета")</f>
        <v>Воробьев С.О. – член Кредитного комитета</v>
      </c>
      <c r="J13" s="682"/>
      <c r="K13" s="682"/>
      <c r="L13" s="683"/>
    </row>
    <row r="14" spans="2:13" ht="19.5" customHeight="1">
      <c r="B14" s="670"/>
      <c r="C14" s="671"/>
      <c r="D14" s="671"/>
      <c r="E14" s="672"/>
      <c r="F14" s="691" t="str">
        <f>IF(F13=" ","  "," ")</f>
        <v xml:space="preserve"> </v>
      </c>
      <c r="G14" s="692"/>
      <c r="H14" s="693"/>
      <c r="I14" s="687"/>
      <c r="J14" s="684"/>
      <c r="K14" s="684"/>
      <c r="L14" s="685"/>
    </row>
    <row r="15" spans="2:13">
      <c r="B15" s="1"/>
      <c r="C15" s="1"/>
      <c r="D15" s="1"/>
      <c r="E15" s="1"/>
      <c r="F15" s="1"/>
      <c r="G15" s="385"/>
      <c r="H15" s="385"/>
      <c r="I15" s="1"/>
      <c r="J15" s="1"/>
      <c r="K15" s="1"/>
      <c r="L15" s="1"/>
    </row>
    <row r="16" spans="2:13" ht="52.5" customHeight="1">
      <c r="B16" s="655" t="s">
        <v>95</v>
      </c>
      <c r="C16" s="655"/>
      <c r="D16" s="655"/>
      <c r="E16" s="655" t="str">
        <f>CONCATENATE("О предоставлении кредитного продукта категории Экспресс клиенту ",'Приложение 3 - заключение'!E6)</f>
        <v>О предоставлении кредитного продукта категории Экспресс клиенту 0</v>
      </c>
      <c r="F16" s="655"/>
      <c r="G16" s="655"/>
      <c r="H16" s="655"/>
      <c r="I16" s="655"/>
      <c r="J16" s="655"/>
      <c r="K16" s="655"/>
      <c r="L16" s="655"/>
    </row>
    <row r="17" spans="1:12" ht="55.5" customHeight="1">
      <c r="B17" s="655" t="s">
        <v>398</v>
      </c>
      <c r="C17" s="655"/>
      <c r="D17" s="655"/>
      <c r="E17" s="656">
        <f>D16</f>
        <v>0</v>
      </c>
      <c r="F17" s="656"/>
      <c r="G17" s="656"/>
      <c r="H17" s="656"/>
      <c r="I17" s="656"/>
      <c r="J17" s="656"/>
      <c r="K17" s="656"/>
      <c r="L17" s="656"/>
    </row>
    <row r="18" spans="1:12" ht="15.75" customHeight="1"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7"/>
    </row>
    <row r="19" spans="1:12" ht="18.75">
      <c r="B19" s="141" t="s">
        <v>96</v>
      </c>
      <c r="C19" s="12"/>
      <c r="D19" s="12"/>
      <c r="E19" s="1"/>
      <c r="F19" s="1"/>
      <c r="G19" s="1"/>
      <c r="H19" s="1"/>
      <c r="I19" s="1"/>
      <c r="J19" s="1"/>
      <c r="K19" s="1"/>
      <c r="L19" s="1"/>
    </row>
    <row r="20" spans="1:12" ht="18.75">
      <c r="B20" s="141"/>
      <c r="C20" s="12"/>
      <c r="D20" s="12"/>
      <c r="E20" s="1"/>
      <c r="F20" s="1"/>
      <c r="G20" s="1"/>
      <c r="H20" s="1"/>
      <c r="I20" s="1"/>
      <c r="J20" s="1"/>
      <c r="K20" s="1"/>
      <c r="L20" s="1"/>
    </row>
    <row r="21" spans="1:12" ht="62.25" customHeight="1">
      <c r="A21" s="374" t="s">
        <v>85</v>
      </c>
      <c r="B21" s="651" t="str">
        <f>CONCATENATE("Предоставить Клиенту ",'Приложение 3 - заключение'!E6," кредит категории Экспресс на следующих условиях:")</f>
        <v>Предоставить Клиенту 0 кредит категории Экспресс на следующих условиях:</v>
      </c>
      <c r="C21" s="651"/>
      <c r="D21" s="651"/>
      <c r="E21" s="651"/>
      <c r="F21" s="651"/>
      <c r="G21" s="651"/>
      <c r="H21" s="651"/>
      <c r="I21" s="651"/>
      <c r="J21" s="651"/>
      <c r="K21" s="651"/>
      <c r="L21" s="651"/>
    </row>
    <row r="22" spans="1:12" ht="24" customHeight="1">
      <c r="B22" s="652" t="s">
        <v>49</v>
      </c>
      <c r="C22" s="652"/>
      <c r="D22" s="652"/>
      <c r="E22" s="652"/>
      <c r="F22" s="658">
        <f>'Приложение 3 - заключение'!E11</f>
        <v>0</v>
      </c>
      <c r="G22" s="659"/>
      <c r="H22" s="659"/>
      <c r="I22" s="659"/>
      <c r="J22" s="659"/>
      <c r="K22" s="659"/>
      <c r="L22" s="660"/>
    </row>
    <row r="23" spans="1:12" ht="24" customHeight="1">
      <c r="B23" s="661" t="s">
        <v>148</v>
      </c>
      <c r="C23" s="662"/>
      <c r="D23" s="662"/>
      <c r="E23" s="663"/>
      <c r="F23" s="259">
        <f>'Приложение 3 - заключение'!E17</f>
        <v>0</v>
      </c>
      <c r="G23" s="244"/>
      <c r="H23" s="369"/>
      <c r="I23" s="244"/>
      <c r="J23" s="244"/>
      <c r="K23" s="369"/>
      <c r="L23" s="245"/>
    </row>
    <row r="24" spans="1:12" ht="34.5" customHeight="1">
      <c r="B24" s="652" t="str">
        <f>IF('Приложение 3 - заключение'!E13="Овердрафт","Лимит овердрафта",IF('Приложение 3 - заключение'!E13="Возобновляемая кредитная линия","Предельный размер единовременной задолженности",IF('Приложение 3 - заключение'!E13="Невозобновляемая кредитная линия","Максимальный размер (лимит) кредита","Сумма кредита")))</f>
        <v>Сумма кредита</v>
      </c>
      <c r="C24" s="652"/>
      <c r="D24" s="652"/>
      <c r="E24" s="652"/>
      <c r="F24" s="675">
        <f>'Приложение 3 - заключение'!I123</f>
        <v>0</v>
      </c>
      <c r="G24" s="659" t="s">
        <v>97</v>
      </c>
      <c r="H24" s="659"/>
      <c r="I24" s="659"/>
      <c r="J24" s="659"/>
      <c r="K24" s="659"/>
      <c r="L24" s="660"/>
    </row>
    <row r="25" spans="1:12" ht="33.75" customHeight="1">
      <c r="B25" s="652" t="s">
        <v>221</v>
      </c>
      <c r="C25" s="652"/>
      <c r="D25" s="652"/>
      <c r="E25" s="652"/>
      <c r="F25" s="658" t="str">
        <f>IF('Приложение 3 - заключение'!G15="BYN","белорусский рубль",IF('Приложение 3 - заключение'!G15="USD","доллар США",IF('Приложение 3 - заключение'!G15="EUR","евро","российский рубль")))</f>
        <v>российский рубль</v>
      </c>
      <c r="G25" s="659" t="s">
        <v>98</v>
      </c>
      <c r="H25" s="659"/>
      <c r="I25" s="659"/>
      <c r="J25" s="659"/>
      <c r="K25" s="659"/>
      <c r="L25" s="660"/>
    </row>
    <row r="26" spans="1:12" ht="33.75" customHeight="1">
      <c r="B26" s="652" t="s">
        <v>406</v>
      </c>
      <c r="C26" s="652"/>
      <c r="D26" s="652"/>
      <c r="E26" s="652"/>
      <c r="F26" s="658">
        <f>'Приложение 3 - заключение'!E13:M13</f>
        <v>0</v>
      </c>
      <c r="G26" s="659"/>
      <c r="H26" s="659"/>
      <c r="I26" s="659"/>
      <c r="J26" s="659"/>
      <c r="K26" s="659"/>
      <c r="L26" s="660"/>
    </row>
    <row r="27" spans="1:12" ht="33.75" customHeight="1">
      <c r="B27" s="652" t="s">
        <v>407</v>
      </c>
      <c r="C27" s="652"/>
      <c r="D27" s="652"/>
      <c r="E27" s="652"/>
      <c r="F27" s="658">
        <f>Заявка!P16</f>
        <v>0</v>
      </c>
      <c r="G27" s="659"/>
      <c r="H27" s="659"/>
      <c r="I27" s="659"/>
      <c r="J27" s="659"/>
      <c r="K27" s="659"/>
      <c r="L27" s="660"/>
    </row>
    <row r="28" spans="1:12" ht="24" customHeight="1">
      <c r="B28" s="652" t="s">
        <v>222</v>
      </c>
      <c r="C28" s="652"/>
      <c r="D28" s="652"/>
      <c r="E28" s="652"/>
      <c r="F28" s="658" t="str">
        <f>CONCATENATE('Приложение 3 - заключение'!E21," месяцев")</f>
        <v>0 месяцев</v>
      </c>
      <c r="G28" s="659" t="s">
        <v>99</v>
      </c>
      <c r="H28" s="659"/>
      <c r="I28" s="659"/>
      <c r="J28" s="659"/>
      <c r="K28" s="659"/>
      <c r="L28" s="660"/>
    </row>
    <row r="29" spans="1:12" ht="33.75" customHeight="1">
      <c r="B29" s="661" t="s">
        <v>405</v>
      </c>
      <c r="C29" s="662"/>
      <c r="D29" s="662"/>
      <c r="E29" s="663"/>
      <c r="F29" s="658" t="str">
        <f>IF('Приложение 3 - заключение'!E13="разовый кредит",1,IF('Приложение 3 - заключение'!E13="невозобновляемая кредитная линия",3,"срок кредита минус срок транша"))</f>
        <v>срок кредита минус срок транша</v>
      </c>
      <c r="G29" s="659"/>
      <c r="H29" s="659"/>
      <c r="I29" s="659"/>
      <c r="J29" s="659"/>
      <c r="K29" s="659"/>
      <c r="L29" s="660"/>
    </row>
    <row r="30" spans="1:12" ht="30" customHeight="1">
      <c r="B30" s="652" t="str">
        <f>IF(OR('Приложение 3 - заключение'!E13="Овердрафт",'Приложение 3 - заключение'!E13="Возобновляемая кредитная линия"),"Срок транша","Срок отсрочки  (с момента истечения срока предоставления кредита)")</f>
        <v>Срок отсрочки  (с момента истечения срока предоставления кредита)</v>
      </c>
      <c r="C30" s="652"/>
      <c r="D30" s="652"/>
      <c r="E30" s="652"/>
      <c r="F30" s="246">
        <f>'Приложение 3 - заключение'!E23</f>
        <v>0</v>
      </c>
      <c r="G30" s="247" t="str">
        <f>'Приложение 3 - заключение'!F23</f>
        <v>месяцев</v>
      </c>
      <c r="H30" s="247"/>
      <c r="I30" s="247"/>
      <c r="J30" s="247"/>
      <c r="K30" s="247"/>
      <c r="L30" s="248"/>
    </row>
    <row r="31" spans="1:12" ht="46.5" customHeight="1">
      <c r="B31" s="652" t="s">
        <v>104</v>
      </c>
      <c r="C31" s="652"/>
      <c r="D31" s="652"/>
      <c r="E31" s="652"/>
      <c r="F31" s="658" t="str">
        <f>(IF('Приложение 3 - заключение'!G15="BYN","расчетная величина стандартного риска по новым кредитам в национальной валюте, предоставленным юридическим лицам",CONCATENATE('Приложение 3 - заключение'!E25," % годовых")))</f>
        <v xml:space="preserve"> % годовых</v>
      </c>
      <c r="G31" s="659" t="s">
        <v>100</v>
      </c>
      <c r="H31" s="659"/>
      <c r="I31" s="659"/>
      <c r="J31" s="659"/>
      <c r="K31" s="659"/>
      <c r="L31" s="660"/>
    </row>
    <row r="32" spans="1:12" ht="46.5" customHeight="1">
      <c r="B32" s="652" t="s">
        <v>409</v>
      </c>
      <c r="C32" s="652"/>
      <c r="D32" s="652"/>
      <c r="E32" s="652"/>
      <c r="F32" s="676" t="s">
        <v>410</v>
      </c>
      <c r="G32" s="677"/>
      <c r="H32" s="677"/>
      <c r="I32" s="677"/>
      <c r="J32" s="677"/>
      <c r="K32" s="677"/>
      <c r="L32" s="678"/>
    </row>
    <row r="33" spans="1:13" ht="33.75" customHeight="1">
      <c r="B33" s="652" t="s">
        <v>50</v>
      </c>
      <c r="C33" s="652"/>
      <c r="D33" s="652"/>
      <c r="E33" s="652"/>
      <c r="F33" s="676" t="s">
        <v>394</v>
      </c>
      <c r="G33" s="677" t="s">
        <v>101</v>
      </c>
      <c r="H33" s="677"/>
      <c r="I33" s="677"/>
      <c r="J33" s="677"/>
      <c r="K33" s="677"/>
      <c r="L33" s="678"/>
    </row>
    <row r="34" spans="1:13" ht="61.5" customHeight="1">
      <c r="B34" s="652" t="s">
        <v>395</v>
      </c>
      <c r="C34" s="652"/>
      <c r="D34" s="652"/>
      <c r="E34" s="652"/>
      <c r="F34" s="694" t="s">
        <v>411</v>
      </c>
      <c r="G34" s="695" t="s">
        <v>101</v>
      </c>
      <c r="H34" s="695"/>
      <c r="I34" s="695"/>
      <c r="J34" s="695"/>
      <c r="K34" s="695"/>
      <c r="L34" s="696"/>
    </row>
    <row r="35" spans="1:13" ht="33.75" customHeight="1">
      <c r="B35" s="652" t="s">
        <v>396</v>
      </c>
      <c r="C35" s="652"/>
      <c r="D35" s="652"/>
      <c r="E35" s="652"/>
      <c r="F35" s="697"/>
      <c r="G35" s="698"/>
      <c r="H35" s="698"/>
      <c r="I35" s="698"/>
      <c r="J35" s="698"/>
      <c r="K35" s="698"/>
      <c r="L35" s="699"/>
    </row>
    <row r="36" spans="1:13" ht="208.5" customHeight="1">
      <c r="B36" s="652" t="s">
        <v>102</v>
      </c>
      <c r="C36" s="652" t="s">
        <v>103</v>
      </c>
      <c r="D36" s="652"/>
      <c r="E36" s="652"/>
      <c r="F36" s="661"/>
      <c r="G36" s="662"/>
      <c r="H36" s="662"/>
      <c r="I36" s="662"/>
      <c r="J36" s="662"/>
      <c r="K36" s="662"/>
      <c r="L36" s="663"/>
    </row>
    <row r="37" spans="1:13" ht="29.25" customHeight="1">
      <c r="B37" s="652" t="s">
        <v>412</v>
      </c>
      <c r="C37" s="652"/>
      <c r="D37" s="652"/>
      <c r="E37" s="652"/>
      <c r="F37" s="661">
        <f>[12]заключение!M136</f>
        <v>0</v>
      </c>
      <c r="G37" s="662"/>
      <c r="H37" s="662"/>
      <c r="I37" s="662"/>
      <c r="J37" s="662"/>
      <c r="K37" s="662"/>
      <c r="L37" s="663"/>
    </row>
    <row r="38" spans="1:13" ht="19.5" customHeight="1">
      <c r="A38" s="375" t="s">
        <v>399</v>
      </c>
      <c r="B38" s="646" t="str">
        <f>IF('Приложение 3 - заключение'!A130="Предоставление решений не требуется"," ",CONCATENATE('Приложение 3 - заключение'!A130))</f>
        <v/>
      </c>
      <c r="C38" s="646"/>
      <c r="D38" s="646"/>
      <c r="E38" s="646"/>
      <c r="F38" s="646"/>
      <c r="G38" s="646"/>
      <c r="H38" s="646"/>
      <c r="I38" s="646"/>
      <c r="J38" s="646"/>
      <c r="K38" s="646"/>
      <c r="L38" s="646"/>
    </row>
    <row r="39" spans="1:13" ht="19.5" customHeight="1">
      <c r="A39" s="375" t="s">
        <v>400</v>
      </c>
      <c r="B39" s="648" t="str">
        <f>IF('Приложение 3 - заключение'!A137="Предоставление решений не требуется"," ",CONCATENATE('Приложение 3 - заключение'!A137))</f>
        <v/>
      </c>
      <c r="C39" s="648"/>
      <c r="D39" s="648"/>
      <c r="E39" s="648"/>
      <c r="F39" s="648"/>
      <c r="G39" s="648"/>
      <c r="H39" s="648"/>
      <c r="I39" s="648"/>
      <c r="J39" s="648"/>
      <c r="K39" s="648"/>
      <c r="L39" s="648"/>
    </row>
    <row r="40" spans="1:13" ht="62.25" customHeight="1">
      <c r="A40" s="375" t="s">
        <v>401</v>
      </c>
      <c r="B40" s="701" t="str">
        <f>CONCATENATE("Ответственные за исполнение решения: за подготовку проектов кредитного договора и договоров обеспечения - ОЭФ УКЭКК (",G50,"), за  заключение соответствующих договоров - ОПКК (Игруша Т.В.), сроки исполнения решения: в течение 30 календарных дней с даты принятия решения.")</f>
        <v>Ответственные за исполнение решения: за подготовку проектов кредитного договора и договоров обеспечения - ОЭФ УКЭКК (И.О. Фамилия), за  заключение соответствующих договоров - ОПКК (Игруша Т.В.), сроки исполнения решения: в течение 30 календарных дней с даты принятия решения.</v>
      </c>
      <c r="C40" s="701"/>
      <c r="D40" s="701"/>
      <c r="E40" s="701"/>
      <c r="F40" s="701"/>
      <c r="G40" s="701"/>
      <c r="H40" s="701"/>
      <c r="I40" s="701"/>
      <c r="J40" s="701"/>
      <c r="K40" s="701"/>
      <c r="L40" s="701"/>
    </row>
    <row r="41" spans="1:13" ht="19.5" customHeight="1">
      <c r="A41" s="375" t="s">
        <v>87</v>
      </c>
      <c r="B41" s="648" t="s">
        <v>408</v>
      </c>
      <c r="C41" s="648"/>
      <c r="D41" s="648"/>
      <c r="E41" s="648"/>
      <c r="F41" s="648"/>
      <c r="G41" s="648"/>
      <c r="H41" s="648"/>
      <c r="I41" s="648"/>
      <c r="J41" s="648"/>
      <c r="K41" s="648"/>
      <c r="L41" s="648"/>
    </row>
    <row r="42" spans="1:13" ht="19.5" customHeight="1">
      <c r="A42" s="375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</row>
    <row r="43" spans="1:13" ht="20.25" customHeight="1">
      <c r="B43" s="647" t="str">
        <f>IF(ISNUMBER(SEARCH("Малого",B2)),"Подписи членов Малого кредитного комитета:","Подписи членов Кредитного комитета:")</f>
        <v>Подписи членов Кредитного комитета:</v>
      </c>
      <c r="C43" s="647"/>
      <c r="D43" s="647"/>
      <c r="E43" s="647"/>
      <c r="F43" s="647"/>
      <c r="G43" s="647"/>
      <c r="H43" s="647"/>
      <c r="I43" s="647"/>
      <c r="J43" s="647"/>
      <c r="K43" s="647"/>
      <c r="L43" s="647"/>
    </row>
    <row r="44" spans="1:13" ht="33" customHeight="1">
      <c r="B44" s="702" t="s">
        <v>402</v>
      </c>
      <c r="C44" s="702"/>
      <c r="D44" s="262"/>
      <c r="E44" s="372" t="s">
        <v>106</v>
      </c>
      <c r="F44" s="376"/>
      <c r="G44" s="382" t="s">
        <v>404</v>
      </c>
      <c r="H44" s="258"/>
      <c r="I44" s="644" t="s">
        <v>107</v>
      </c>
      <c r="J44" s="644"/>
      <c r="K44" s="371"/>
      <c r="L44" s="382" t="s">
        <v>404</v>
      </c>
    </row>
    <row r="45" spans="1:13" ht="19.5" customHeight="1">
      <c r="B45" s="643" t="str">
        <f>IF(ISNUMBER(SEARCH("Малого",B2)),"Рудая Т.Д.","Будников С.Д.")</f>
        <v>Будников С.Д.</v>
      </c>
      <c r="C45" s="643"/>
      <c r="D45" s="643"/>
      <c r="E45" s="377"/>
      <c r="F45" s="379"/>
      <c r="G45" s="380"/>
      <c r="H45" s="258"/>
      <c r="I45" s="645"/>
      <c r="J45" s="645"/>
      <c r="K45" s="383"/>
      <c r="L45" s="380"/>
      <c r="M45" s="129"/>
    </row>
    <row r="46" spans="1:13" ht="19.5" customHeight="1">
      <c r="B46" s="643" t="str">
        <f>IF(ISNUMBER(SEARCH("Малого",B2)),"Химич М.А.","Химич М.А.")</f>
        <v>Химич М.А.</v>
      </c>
      <c r="C46" s="643"/>
      <c r="D46" s="643"/>
      <c r="E46" s="378"/>
      <c r="F46" s="379"/>
      <c r="G46" s="381"/>
      <c r="H46" s="258"/>
      <c r="I46" s="680"/>
      <c r="J46" s="680"/>
      <c r="K46" s="251"/>
      <c r="L46" s="381"/>
    </row>
    <row r="47" spans="1:13" ht="19.5" customHeight="1">
      <c r="B47" s="643" t="str">
        <f>IF(ISNUMBER(SEARCH("Малого",B2)),"Ефимов Р.А.","Ефимов Р.А.")</f>
        <v>Ефимов Р.А.</v>
      </c>
      <c r="C47" s="643"/>
      <c r="D47" s="643"/>
      <c r="E47" s="378"/>
      <c r="F47" s="379"/>
      <c r="G47" s="381"/>
      <c r="H47" s="258"/>
      <c r="I47" s="680"/>
      <c r="J47" s="680"/>
      <c r="K47" s="371"/>
      <c r="L47" s="381"/>
    </row>
    <row r="48" spans="1:13" ht="19.5" customHeight="1">
      <c r="B48" s="643" t="str">
        <f>IF(ISNUMBER(SEARCH("Малого",B2))," ","Воробьев С.О.")</f>
        <v>Воробьев С.О.</v>
      </c>
      <c r="C48" s="643"/>
      <c r="D48" s="643"/>
      <c r="E48" s="384"/>
      <c r="F48" s="251"/>
      <c r="G48" s="381"/>
      <c r="H48" s="258"/>
      <c r="I48" s="680"/>
      <c r="J48" s="680"/>
      <c r="K48" s="251"/>
      <c r="L48" s="384"/>
    </row>
    <row r="49" spans="2:12" ht="19.5" customHeight="1"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</row>
    <row r="50" spans="2:12" ht="35.25" customHeight="1">
      <c r="B50" s="643" t="str">
        <f>IF(ISNUMBER(SEARCH("Малого",B2)),"Секретарь Малого кредитного комитета","Секретарь Кредитного комитета")</f>
        <v>Секретарь Кредитного комитета</v>
      </c>
      <c r="C50" s="643"/>
      <c r="D50" s="643"/>
      <c r="E50" s="257"/>
      <c r="F50" s="257"/>
      <c r="G50" s="679" t="str">
        <f>'Приложение 3 - заключение'!J141</f>
        <v>И.О. Фамилия</v>
      </c>
      <c r="H50" s="679"/>
      <c r="I50" s="679"/>
      <c r="J50" s="679"/>
      <c r="K50" s="370"/>
      <c r="L50" s="251"/>
    </row>
    <row r="51" spans="2:12" ht="19.5" customHeight="1"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</row>
    <row r="52" spans="2:12" ht="19.5" customHeight="1">
      <c r="B52" s="260" t="s">
        <v>403</v>
      </c>
      <c r="C52" s="263"/>
      <c r="D52" s="263"/>
      <c r="E52" s="251"/>
      <c r="F52" s="261"/>
      <c r="G52" s="681"/>
      <c r="H52" s="681"/>
      <c r="I52" s="681"/>
      <c r="J52" s="251"/>
      <c r="K52" s="251"/>
      <c r="L52" s="251"/>
    </row>
    <row r="53" spans="2:12" ht="19.5" customHeight="1">
      <c r="B53" s="252"/>
      <c r="C53" s="252"/>
      <c r="D53" s="252"/>
      <c r="E53" s="252"/>
      <c r="F53" s="253"/>
      <c r="G53" s="253"/>
      <c r="H53" s="253"/>
      <c r="I53" s="253"/>
      <c r="J53" s="253"/>
      <c r="K53" s="253"/>
      <c r="L53" s="253"/>
    </row>
    <row r="54" spans="2:12" ht="33.75" customHeight="1">
      <c r="B54" s="254"/>
      <c r="C54" s="254"/>
      <c r="D54" s="254"/>
      <c r="E54" s="254"/>
      <c r="F54" s="255"/>
      <c r="G54" s="255"/>
      <c r="H54" s="255"/>
      <c r="I54" s="255"/>
      <c r="J54" s="256"/>
      <c r="K54" s="256"/>
      <c r="L54" s="256"/>
    </row>
    <row r="55" spans="2:12" ht="35.25" customHeight="1">
      <c r="B55" s="673"/>
      <c r="C55" s="673"/>
      <c r="D55" s="673"/>
      <c r="E55" s="673"/>
      <c r="F55" s="1"/>
      <c r="G55" s="1"/>
      <c r="H55" s="1"/>
      <c r="I55" s="1"/>
      <c r="J55" s="674"/>
      <c r="K55" s="674"/>
      <c r="L55" s="674"/>
    </row>
    <row r="56" spans="2:12" ht="18.75">
      <c r="B56" s="127"/>
    </row>
  </sheetData>
  <mergeCells count="74">
    <mergeCell ref="E5:F5"/>
    <mergeCell ref="K5:L5"/>
    <mergeCell ref="B40:L40"/>
    <mergeCell ref="B41:L41"/>
    <mergeCell ref="B44:C44"/>
    <mergeCell ref="B34:E34"/>
    <mergeCell ref="B35:E35"/>
    <mergeCell ref="B26:E26"/>
    <mergeCell ref="B27:E27"/>
    <mergeCell ref="F27:L27"/>
    <mergeCell ref="B32:E32"/>
    <mergeCell ref="F32:L32"/>
    <mergeCell ref="B37:E37"/>
    <mergeCell ref="F37:L37"/>
    <mergeCell ref="G52:I52"/>
    <mergeCell ref="I7:L8"/>
    <mergeCell ref="I9:L10"/>
    <mergeCell ref="I11:L12"/>
    <mergeCell ref="I13:L14"/>
    <mergeCell ref="F7:H7"/>
    <mergeCell ref="F8:H8"/>
    <mergeCell ref="F9:H9"/>
    <mergeCell ref="F10:H10"/>
    <mergeCell ref="F11:H11"/>
    <mergeCell ref="F12:H12"/>
    <mergeCell ref="F13:H13"/>
    <mergeCell ref="F14:H14"/>
    <mergeCell ref="F34:L34"/>
    <mergeCell ref="F35:L35"/>
    <mergeCell ref="F26:L26"/>
    <mergeCell ref="B46:D46"/>
    <mergeCell ref="B47:D47"/>
    <mergeCell ref="I46:J46"/>
    <mergeCell ref="B48:D48"/>
    <mergeCell ref="I47:J47"/>
    <mergeCell ref="I48:J48"/>
    <mergeCell ref="B55:E55"/>
    <mergeCell ref="J55:L55"/>
    <mergeCell ref="B24:E24"/>
    <mergeCell ref="F24:L24"/>
    <mergeCell ref="B25:E25"/>
    <mergeCell ref="F25:L25"/>
    <mergeCell ref="B28:E28"/>
    <mergeCell ref="F28:L28"/>
    <mergeCell ref="B31:E31"/>
    <mergeCell ref="F31:L31"/>
    <mergeCell ref="B33:E33"/>
    <mergeCell ref="F33:L33"/>
    <mergeCell ref="B36:E36"/>
    <mergeCell ref="F36:L36"/>
    <mergeCell ref="G50:J50"/>
    <mergeCell ref="B50:D50"/>
    <mergeCell ref="B2:L2"/>
    <mergeCell ref="B21:L21"/>
    <mergeCell ref="B22:E22"/>
    <mergeCell ref="B30:E30"/>
    <mergeCell ref="B3:L3"/>
    <mergeCell ref="B16:D16"/>
    <mergeCell ref="E16:L16"/>
    <mergeCell ref="B17:D17"/>
    <mergeCell ref="E17:L17"/>
    <mergeCell ref="E18:L18"/>
    <mergeCell ref="F22:L22"/>
    <mergeCell ref="B29:E29"/>
    <mergeCell ref="F29:L29"/>
    <mergeCell ref="B18:D18"/>
    <mergeCell ref="B23:E23"/>
    <mergeCell ref="B7:E14"/>
    <mergeCell ref="B45:D45"/>
    <mergeCell ref="I44:J44"/>
    <mergeCell ref="I45:J45"/>
    <mergeCell ref="B38:L38"/>
    <mergeCell ref="B43:L43"/>
    <mergeCell ref="B39:L39"/>
  </mergeCells>
  <conditionalFormatting sqref="F7:F8">
    <cfRule type="cellIs" dxfId="78" priority="61" operator="equal">
      <formula>" – Председатель Кредитного Комитета"</formula>
    </cfRule>
    <cfRule type="cellIs" dxfId="77" priority="68" operator="equal">
      <formula>"– Председатель Кредитного Комитета"</formula>
    </cfRule>
  </conditionalFormatting>
  <conditionalFormatting sqref="F33:L33">
    <cfRule type="containsBlanks" dxfId="76" priority="59">
      <formula>LEN(TRIM(F33))=0</formula>
    </cfRule>
  </conditionalFormatting>
  <conditionalFormatting sqref="F36:L36">
    <cfRule type="containsBlanks" dxfId="75" priority="58">
      <formula>LEN(TRIM(F36))=0</formula>
    </cfRule>
  </conditionalFormatting>
  <conditionalFormatting sqref="G48 I48:J48 L48">
    <cfRule type="expression" dxfId="74" priority="57">
      <formula>$B$48=" "</formula>
    </cfRule>
  </conditionalFormatting>
  <conditionalFormatting sqref="F34:L34">
    <cfRule type="containsBlanks" dxfId="73" priority="55">
      <formula>LEN(TRIM(F34))=0</formula>
    </cfRule>
  </conditionalFormatting>
  <conditionalFormatting sqref="F35:L35">
    <cfRule type="containsBlanks" dxfId="72" priority="54">
      <formula>LEN(TRIM(F35))=0</formula>
    </cfRule>
  </conditionalFormatting>
  <conditionalFormatting sqref="B2:L2">
    <cfRule type="containsBlanks" dxfId="71" priority="53">
      <formula>LEN(TRIM(B2))=0</formula>
    </cfRule>
  </conditionalFormatting>
  <conditionalFormatting sqref="I7">
    <cfRule type="cellIs" dxfId="70" priority="36" operator="equal">
      <formula>" – Председатель Кредитного Комитета"</formula>
    </cfRule>
    <cfRule type="cellIs" dxfId="69" priority="40" operator="equal">
      <formula>"– Председатель Кредитного Комитета"</formula>
    </cfRule>
  </conditionalFormatting>
  <conditionalFormatting sqref="I9 I11 I13">
    <cfRule type="cellIs" dxfId="68" priority="25" operator="equal">
      <formula>" – Председатель Кредитного Комитета"</formula>
    </cfRule>
    <cfRule type="cellIs" dxfId="67" priority="26" operator="equal">
      <formula>"– Председатель Кредитного Комитета"</formula>
    </cfRule>
  </conditionalFormatting>
  <conditionalFormatting sqref="F13:F14">
    <cfRule type="cellIs" dxfId="66" priority="19" operator="equal">
      <formula>" – Председатель Кредитного Комитета"</formula>
    </cfRule>
    <cfRule type="cellIs" dxfId="65" priority="20" operator="equal">
      <formula>"– Председатель Кредитного Комитета"</formula>
    </cfRule>
  </conditionalFormatting>
  <conditionalFormatting sqref="F14 F8">
    <cfRule type="containsBlanks" dxfId="64" priority="18">
      <formula>LEN(TRIM(F8))=0</formula>
    </cfRule>
  </conditionalFormatting>
  <conditionalFormatting sqref="I13:L14">
    <cfRule type="expression" dxfId="63" priority="17">
      <formula>$I$13=" "</formula>
    </cfRule>
  </conditionalFormatting>
  <conditionalFormatting sqref="F13:H14">
    <cfRule type="expression" dxfId="62" priority="16">
      <formula>$I$13=" "</formula>
    </cfRule>
  </conditionalFormatting>
  <conditionalFormatting sqref="F14">
    <cfRule type="expression" dxfId="61" priority="14">
      <formula>$F$14="  "</formula>
    </cfRule>
    <cfRule type="expression" dxfId="60" priority="15">
      <formula>$I$13=" "</formula>
    </cfRule>
  </conditionalFormatting>
  <conditionalFormatting sqref="D44">
    <cfRule type="containsBlanks" dxfId="59" priority="12">
      <formula>LEN(TRIM(D44))=0</formula>
    </cfRule>
  </conditionalFormatting>
  <conditionalFormatting sqref="G52:I52">
    <cfRule type="containsBlanks" dxfId="58" priority="11">
      <formula>LEN(TRIM(G52))=0</formula>
    </cfRule>
  </conditionalFormatting>
  <conditionalFormatting sqref="E48">
    <cfRule type="expression" dxfId="57" priority="10">
      <formula>$B$48=" "</formula>
    </cfRule>
  </conditionalFormatting>
  <conditionalFormatting sqref="F9:F12">
    <cfRule type="cellIs" dxfId="56" priority="8" operator="equal">
      <formula>" – Председатель Кредитного Комитета"</formula>
    </cfRule>
    <cfRule type="cellIs" dxfId="55" priority="9" operator="equal">
      <formula>"– Председатель Кредитного Комитета"</formula>
    </cfRule>
  </conditionalFormatting>
  <conditionalFormatting sqref="F10 F12">
    <cfRule type="containsBlanks" dxfId="54" priority="7">
      <formula>LEN(TRIM(F10))=0</formula>
    </cfRule>
  </conditionalFormatting>
  <conditionalFormatting sqref="F14:H14">
    <cfRule type="expression" dxfId="53" priority="6">
      <formula>$I$13=" "</formula>
    </cfRule>
  </conditionalFormatting>
  <conditionalFormatting sqref="G5">
    <cfRule type="containsBlanks" dxfId="52" priority="5">
      <formula>LEN(TRIM(G5))=0</formula>
    </cfRule>
  </conditionalFormatting>
  <conditionalFormatting sqref="K5:L5">
    <cfRule type="containsBlanks" dxfId="51" priority="4">
      <formula>LEN(TRIM(K5))=0</formula>
    </cfRule>
  </conditionalFormatting>
  <conditionalFormatting sqref="F32:L32">
    <cfRule type="containsBlanks" dxfId="50" priority="2">
      <formula>LEN(TRIM(F32))=0</formula>
    </cfRule>
  </conditionalFormatting>
  <conditionalFormatting sqref="F37:L37">
    <cfRule type="containsBlanks" dxfId="49" priority="1">
      <formula>LEN(TRIM(F37))=0</formula>
    </cfRule>
  </conditionalFormatting>
  <dataValidations count="1">
    <dataValidation type="list" allowBlank="1" showInputMessage="1" showErrorMessage="1" sqref="B2:L2">
      <formula1>"ПРОЕКТ РЕШЕНИЯ КРЕДИТНОГО КОМИТЕТА,ПРОЕКТ РЕШЕНИЯ МАЛОГО КРЕДИТНОГО КОМИТЕТА,ПРОТОКОЛ КРЕДИТНОГО КОМИТЕТА,ПРОТОКОЛ МАЛОГО КРЕДИТНОГО КОМИТЕТА,ВЫПИСКА ИЗ ПРОТОКОЛА МАЛОГО КРЕДИТНОГО КОМИТЕТА,ВЫПИСКА ИЗ ПРОТОКОЛА КРЕДИТНОГО КОМИТЕТА"</formula1>
    </dataValidation>
  </dataValidations>
  <pageMargins left="1.1811023622047243" right="0.59055118110236215" top="0.78740157480314965" bottom="0.78740157480314965" header="0.39370078740157483" footer="0"/>
  <pageSetup paperSize="9" scale="8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17"/>
  <sheetViews>
    <sheetView zoomScaleNormal="100" zoomScaleSheetLayoutView="100" workbookViewId="0">
      <selection activeCell="M1" sqref="M1:P1"/>
    </sheetView>
  </sheetViews>
  <sheetFormatPr defaultRowHeight="15"/>
  <cols>
    <col min="1" max="16384" width="9.140625" style="275"/>
  </cols>
  <sheetData>
    <row r="1" spans="1:16" ht="78.75" customHeight="1"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710"/>
      <c r="N1" s="710"/>
      <c r="O1" s="710"/>
      <c r="P1" s="710"/>
    </row>
    <row r="2" spans="1:16" ht="15.75" thickBo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1:16">
      <c r="A3" s="276"/>
      <c r="B3" s="711" t="s">
        <v>240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3"/>
      <c r="P3" s="276"/>
    </row>
    <row r="4" spans="1:16" ht="15.75" thickBot="1">
      <c r="A4" s="276"/>
      <c r="B4" s="714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6"/>
      <c r="P4" s="276"/>
    </row>
    <row r="5" spans="1:16">
      <c r="A5" s="276"/>
      <c r="B5" s="276"/>
      <c r="C5" s="276"/>
      <c r="D5" s="717"/>
      <c r="E5" s="717"/>
      <c r="F5" s="717"/>
      <c r="G5" s="717"/>
      <c r="H5" s="717"/>
      <c r="I5" s="717"/>
      <c r="J5" s="717"/>
      <c r="K5" s="717"/>
      <c r="L5" s="717"/>
      <c r="M5" s="276"/>
      <c r="N5" s="276"/>
      <c r="O5" s="276"/>
      <c r="P5" s="276"/>
    </row>
    <row r="6" spans="1:16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</row>
    <row r="7" spans="1:16">
      <c r="A7" s="276"/>
      <c r="B7" s="276"/>
      <c r="C7" s="276"/>
      <c r="D7" s="276"/>
      <c r="E7" s="703" t="s">
        <v>241</v>
      </c>
      <c r="F7" s="704"/>
      <c r="G7" s="704"/>
      <c r="H7" s="705"/>
      <c r="I7" s="718"/>
      <c r="J7" s="719"/>
      <c r="K7" s="276"/>
      <c r="L7" s="276"/>
      <c r="M7" s="276"/>
      <c r="N7" s="276"/>
      <c r="O7" s="276"/>
      <c r="P7" s="276"/>
    </row>
    <row r="8" spans="1:16">
      <c r="A8" s="276"/>
      <c r="B8" s="276"/>
      <c r="C8" s="276"/>
      <c r="D8" s="276"/>
      <c r="E8" s="703" t="s">
        <v>242</v>
      </c>
      <c r="F8" s="704"/>
      <c r="G8" s="704"/>
      <c r="H8" s="705"/>
      <c r="I8" s="720"/>
      <c r="J8" s="721"/>
      <c r="K8" s="276"/>
      <c r="L8" s="276"/>
      <c r="M8" s="276"/>
      <c r="N8" s="276"/>
      <c r="O8" s="276"/>
      <c r="P8" s="276"/>
    </row>
    <row r="9" spans="1:16">
      <c r="A9" s="276"/>
      <c r="B9" s="276"/>
      <c r="C9" s="276"/>
      <c r="D9" s="276"/>
      <c r="E9" s="703" t="s">
        <v>243</v>
      </c>
      <c r="F9" s="704"/>
      <c r="G9" s="704"/>
      <c r="H9" s="705"/>
      <c r="I9" s="706"/>
      <c r="J9" s="707"/>
      <c r="K9" s="276"/>
      <c r="L9" s="276"/>
      <c r="M9" s="276"/>
      <c r="N9" s="276"/>
      <c r="O9" s="276"/>
      <c r="P9" s="276"/>
    </row>
    <row r="10" spans="1:16">
      <c r="A10" s="276"/>
      <c r="B10" s="276"/>
      <c r="C10" s="276"/>
      <c r="D10" s="276"/>
      <c r="E10" s="703" t="s">
        <v>244</v>
      </c>
      <c r="F10" s="704"/>
      <c r="G10" s="704"/>
      <c r="H10" s="705"/>
      <c r="I10" s="708" t="e">
        <f>I7*((POWER(1+I9/100/360*30,I8)*I9/100/360*30)/(POWER(1+I9/100/360*30,I8)-1))</f>
        <v>#DIV/0!</v>
      </c>
      <c r="J10" s="709"/>
      <c r="K10" s="276"/>
      <c r="L10" s="276"/>
      <c r="M10" s="276"/>
      <c r="N10" s="276"/>
      <c r="O10" s="276"/>
      <c r="P10" s="276"/>
    </row>
    <row r="11" spans="1:16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</row>
    <row r="12" spans="1:16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</row>
    <row r="13" spans="1:16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</row>
    <row r="14" spans="1:16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</row>
    <row r="15" spans="1:16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</row>
    <row r="16" spans="1:16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</row>
    <row r="17" spans="1:16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</sheetData>
  <mergeCells count="11">
    <mergeCell ref="E9:H9"/>
    <mergeCell ref="I9:J9"/>
    <mergeCell ref="E10:H10"/>
    <mergeCell ref="I10:J10"/>
    <mergeCell ref="M1:P1"/>
    <mergeCell ref="B3:O4"/>
    <mergeCell ref="D5:L5"/>
    <mergeCell ref="E7:H7"/>
    <mergeCell ref="I7:J7"/>
    <mergeCell ref="E8:H8"/>
    <mergeCell ref="I8:J8"/>
  </mergeCells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B20"/>
  <sheetViews>
    <sheetView topLeftCell="Z1" workbookViewId="0">
      <selection activeCell="AN2" sqref="AN2"/>
    </sheetView>
  </sheetViews>
  <sheetFormatPr defaultRowHeight="15"/>
  <cols>
    <col min="9" max="11" width="0" hidden="1" customWidth="1"/>
  </cols>
  <sheetData>
    <row r="1" spans="1:54">
      <c r="D1" s="162" t="s">
        <v>153</v>
      </c>
      <c r="E1" s="161"/>
      <c r="F1" s="725" t="s">
        <v>135</v>
      </c>
      <c r="G1" s="726"/>
      <c r="H1" s="727"/>
      <c r="I1" s="149"/>
      <c r="J1" s="148"/>
      <c r="K1" s="148"/>
      <c r="L1" s="148"/>
      <c r="N1" s="150"/>
      <c r="O1" s="725" t="s">
        <v>136</v>
      </c>
      <c r="P1" s="726"/>
      <c r="Q1" s="726"/>
      <c r="R1" s="727"/>
      <c r="V1" s="722" t="s">
        <v>137</v>
      </c>
      <c r="W1" s="723"/>
      <c r="X1" s="724"/>
      <c r="AD1" s="193"/>
      <c r="AF1" s="722" t="s">
        <v>140</v>
      </c>
      <c r="AG1" s="723"/>
      <c r="AH1" s="723"/>
      <c r="AI1" s="723"/>
      <c r="AJ1" s="724"/>
      <c r="AP1" s="722" t="s">
        <v>142</v>
      </c>
      <c r="AQ1" s="723"/>
      <c r="AR1" s="723"/>
      <c r="AS1" s="724"/>
      <c r="AW1" s="722" t="s">
        <v>168</v>
      </c>
      <c r="AX1" s="723"/>
      <c r="AY1" s="723"/>
      <c r="AZ1" s="724"/>
    </row>
    <row r="2" spans="1:54" ht="22.5">
      <c r="A2" s="159" t="str">
        <f>SUBSTITUTE(""," ","_")</f>
        <v/>
      </c>
      <c r="B2" s="149" t="s">
        <v>113</v>
      </c>
      <c r="D2" s="149" t="s">
        <v>113</v>
      </c>
      <c r="E2" s="160" t="b">
        <f>IF(A3="Быстрое_решение","ов0",IF(A3="Подзарядка","подз0",IF(A3="Кредитный_экспресс","кэ0",IF(A3="Так_просто","тп0",IF(A3="Просто_авто","тп0")))))</f>
        <v>0</v>
      </c>
      <c r="F2" s="151" t="s">
        <v>117</v>
      </c>
      <c r="G2" s="151"/>
      <c r="H2" s="151"/>
      <c r="I2" s="151"/>
      <c r="J2" s="151"/>
      <c r="K2" s="151"/>
      <c r="L2" s="151"/>
      <c r="M2" s="128" t="b">
        <f>IF(A3="Быстрое_решение","ов",IF(A3="Подзарядка","подз",IF(A3="Кредитный_экспресс","кэ",IF(A3="Так_просто","кэ",IF(A3="Просто_авто","кэ")))))</f>
        <v>0</v>
      </c>
      <c r="N2" s="149" t="s">
        <v>113</v>
      </c>
      <c r="O2" s="149" t="s">
        <v>128</v>
      </c>
      <c r="P2" s="152" t="s">
        <v>129</v>
      </c>
      <c r="Q2" s="152" t="s">
        <v>130</v>
      </c>
      <c r="R2" s="152" t="s">
        <v>131</v>
      </c>
      <c r="T2" s="128" t="b">
        <f>IF(A3="Быстрое_решение","ов2",IF(A3="Подзарядка","подз2",IF(A3="Кредитный_экспресс","кэ2",IF(A3="Так_просто","кэ2",IF(A3="Просто_авто","авто")))))</f>
        <v>0</v>
      </c>
      <c r="U2" s="149" t="s">
        <v>113</v>
      </c>
      <c r="V2" t="s">
        <v>167</v>
      </c>
      <c r="AD2" s="128" t="str">
        <f>IF(A3="Быстрое_решение","ов3",IF(A3="Подзарядка","ов3",IF(A3="Так_просто","тп3",IF(A3="Просто_авто","кэ3",IF(AND(A3="Кредитный_экспресс",Заявка!P12="финансирование краткосрочных активов"),"тп3","кэ3")))))</f>
        <v>кэ3</v>
      </c>
      <c r="AE2" s="149" t="s">
        <v>113</v>
      </c>
      <c r="AF2">
        <v>12</v>
      </c>
      <c r="AN2" s="128" t="str">
        <f>IF(A3="Быстрое_решение","ов4",IF(AND(A3="Подзарядка",Заявка!P9="Возобновляемая кредитная линия"),"подз4",IF(AND(A3="Кредитный_экспресс",Заявка!P9="Возобновляемая кредитная линия"),"кэ4",IF(AND(A3="Так_просто",Заявка!P9="Разовый кредит"),"тп4",IF(A3="Просто_авто","авто4",IF(AND(Заявка!P9="Разовый кредит",A3="Кредитный_экспресс"),"тп4","авто4"))))))</f>
        <v>авто4</v>
      </c>
      <c r="AO2" s="149" t="s">
        <v>113</v>
      </c>
      <c r="AP2">
        <v>30</v>
      </c>
      <c r="AU2" s="128" t="str">
        <f>IF(OR(A3="Быстрое_решение",A3="Подзарядка",A3="Просто_авто",),"ов5","тп5")</f>
        <v>тп5</v>
      </c>
      <c r="AV2" s="149" t="s">
        <v>113</v>
      </c>
      <c r="AW2" t="s">
        <v>169</v>
      </c>
    </row>
    <row r="3" spans="1:54" ht="45">
      <c r="A3" s="152" t="str">
        <f>SUBSTITUTE(Заявка!P8," ","_")</f>
        <v/>
      </c>
      <c r="B3" s="149" t="s">
        <v>116</v>
      </c>
      <c r="D3" s="149" t="s">
        <v>116</v>
      </c>
      <c r="E3" s="149"/>
      <c r="F3" s="151" t="s">
        <v>124</v>
      </c>
      <c r="G3" s="154"/>
      <c r="H3" s="155"/>
      <c r="I3" s="155"/>
      <c r="J3" s="155"/>
      <c r="K3" s="155"/>
      <c r="L3" s="155"/>
      <c r="N3" s="149" t="s">
        <v>116</v>
      </c>
      <c r="O3" s="149" t="s">
        <v>128</v>
      </c>
      <c r="P3" s="152"/>
      <c r="U3" s="149" t="s">
        <v>116</v>
      </c>
      <c r="V3" s="156" t="s">
        <v>139</v>
      </c>
      <c r="AE3" s="149" t="s">
        <v>116</v>
      </c>
      <c r="AF3">
        <v>12</v>
      </c>
      <c r="AO3" s="149" t="s">
        <v>116</v>
      </c>
      <c r="AP3">
        <v>30</v>
      </c>
      <c r="AQ3">
        <v>60</v>
      </c>
      <c r="AR3">
        <v>90</v>
      </c>
      <c r="AV3" s="149" t="s">
        <v>116</v>
      </c>
      <c r="AW3" t="s">
        <v>169</v>
      </c>
    </row>
    <row r="4" spans="1:54" ht="45">
      <c r="B4" s="149" t="s">
        <v>150</v>
      </c>
      <c r="D4" s="149" t="s">
        <v>120</v>
      </c>
      <c r="E4" s="149"/>
      <c r="F4" s="151" t="s">
        <v>125</v>
      </c>
      <c r="G4" s="155" t="s">
        <v>126</v>
      </c>
      <c r="H4" s="151" t="s">
        <v>124</v>
      </c>
      <c r="I4" s="154"/>
      <c r="J4" s="154"/>
      <c r="K4" s="154"/>
      <c r="L4" s="154"/>
      <c r="N4" s="149" t="s">
        <v>120</v>
      </c>
      <c r="O4" s="149" t="s">
        <v>128</v>
      </c>
      <c r="P4" s="152" t="s">
        <v>129</v>
      </c>
      <c r="Q4" s="152" t="s">
        <v>130</v>
      </c>
      <c r="R4" s="152" t="s">
        <v>131</v>
      </c>
      <c r="U4" s="149" t="s">
        <v>120</v>
      </c>
      <c r="V4" s="156" t="s">
        <v>138</v>
      </c>
      <c r="W4" s="156" t="s">
        <v>139</v>
      </c>
      <c r="X4" s="156" t="s">
        <v>196</v>
      </c>
      <c r="Y4" s="156" t="s">
        <v>197</v>
      </c>
      <c r="AE4" s="149" t="s">
        <v>120</v>
      </c>
      <c r="AF4" s="167">
        <v>12</v>
      </c>
      <c r="AG4" s="167">
        <v>24</v>
      </c>
      <c r="AH4" s="167">
        <v>36</v>
      </c>
      <c r="AI4">
        <v>48</v>
      </c>
      <c r="AJ4">
        <v>60</v>
      </c>
      <c r="AO4" s="149" t="s">
        <v>120</v>
      </c>
      <c r="AP4">
        <v>30</v>
      </c>
      <c r="AQ4">
        <v>60</v>
      </c>
      <c r="AR4">
        <v>90</v>
      </c>
      <c r="AS4" s="133">
        <v>120</v>
      </c>
      <c r="AT4" s="133"/>
      <c r="AV4" s="149" t="s">
        <v>120</v>
      </c>
      <c r="AW4" s="133" t="s">
        <v>170</v>
      </c>
      <c r="AX4" t="s">
        <v>169</v>
      </c>
      <c r="AY4" s="133"/>
      <c r="AZ4" s="133"/>
      <c r="BA4" s="133"/>
      <c r="BB4" s="133"/>
    </row>
    <row r="5" spans="1:54" ht="45">
      <c r="B5" s="149" t="s">
        <v>151</v>
      </c>
      <c r="D5" s="149" t="s">
        <v>121</v>
      </c>
      <c r="E5" s="149"/>
      <c r="F5" s="151" t="s">
        <v>125</v>
      </c>
      <c r="G5" s="155" t="s">
        <v>126</v>
      </c>
      <c r="H5" s="154"/>
      <c r="I5" s="154"/>
      <c r="J5" s="154"/>
      <c r="K5" s="154"/>
      <c r="L5" s="154"/>
      <c r="N5" s="149" t="s">
        <v>121</v>
      </c>
      <c r="O5" s="149" t="s">
        <v>128</v>
      </c>
      <c r="P5" s="152" t="s">
        <v>129</v>
      </c>
      <c r="Q5" s="152" t="s">
        <v>130</v>
      </c>
      <c r="R5" s="152" t="s">
        <v>131</v>
      </c>
      <c r="U5" s="149" t="s">
        <v>121</v>
      </c>
      <c r="V5" s="156" t="s">
        <v>138</v>
      </c>
      <c r="W5" s="156" t="s">
        <v>139</v>
      </c>
      <c r="X5" s="156" t="s">
        <v>196</v>
      </c>
      <c r="Y5" s="156" t="s">
        <v>197</v>
      </c>
      <c r="AE5" s="149" t="s">
        <v>121</v>
      </c>
      <c r="AF5">
        <v>12</v>
      </c>
      <c r="AG5">
        <v>24</v>
      </c>
      <c r="AH5">
        <v>36</v>
      </c>
      <c r="AO5" s="149" t="s">
        <v>121</v>
      </c>
      <c r="AP5">
        <v>0</v>
      </c>
      <c r="AQ5">
        <v>1</v>
      </c>
      <c r="AR5">
        <v>2</v>
      </c>
      <c r="AS5">
        <v>3</v>
      </c>
      <c r="AV5" s="149" t="s">
        <v>121</v>
      </c>
      <c r="AW5" s="133" t="s">
        <v>170</v>
      </c>
      <c r="AX5" t="s">
        <v>169</v>
      </c>
    </row>
    <row r="6" spans="1:54" ht="45">
      <c r="B6" s="148" t="s">
        <v>152</v>
      </c>
      <c r="D6" s="148" t="s">
        <v>122</v>
      </c>
      <c r="E6" s="148"/>
      <c r="F6" s="151" t="s">
        <v>125</v>
      </c>
      <c r="G6" s="155" t="s">
        <v>126</v>
      </c>
      <c r="H6" s="154"/>
      <c r="I6" s="154"/>
      <c r="J6" s="154"/>
      <c r="K6" s="154"/>
      <c r="L6" s="154"/>
      <c r="N6" s="148" t="s">
        <v>122</v>
      </c>
      <c r="O6" s="149" t="s">
        <v>128</v>
      </c>
      <c r="P6" s="152" t="s">
        <v>129</v>
      </c>
      <c r="Q6" s="152" t="s">
        <v>130</v>
      </c>
      <c r="R6" s="152" t="s">
        <v>131</v>
      </c>
      <c r="S6" s="152"/>
      <c r="T6" s="152"/>
      <c r="U6" s="148" t="s">
        <v>122</v>
      </c>
      <c r="V6" s="32" t="s">
        <v>138</v>
      </c>
      <c r="AE6" s="148" t="s">
        <v>122</v>
      </c>
      <c r="AF6">
        <v>12</v>
      </c>
      <c r="AG6">
        <v>24</v>
      </c>
      <c r="AH6">
        <v>36</v>
      </c>
      <c r="AI6">
        <v>48</v>
      </c>
      <c r="AJ6">
        <v>60</v>
      </c>
      <c r="AO6" s="148" t="s">
        <v>122</v>
      </c>
      <c r="AP6">
        <v>0</v>
      </c>
      <c r="AV6" s="148" t="s">
        <v>122</v>
      </c>
      <c r="AW6" t="s">
        <v>169</v>
      </c>
      <c r="BB6" s="133"/>
    </row>
    <row r="7" spans="1:54">
      <c r="B7" s="148"/>
      <c r="AO7" s="148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11" spans="1:54"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</row>
    <row r="14" spans="1:54">
      <c r="O14" s="149"/>
      <c r="P14" s="149"/>
      <c r="Q14" s="149"/>
      <c r="R14" s="148"/>
      <c r="S14" s="148"/>
      <c r="T14" s="148"/>
    </row>
    <row r="15" spans="1:54">
      <c r="O15" s="149"/>
      <c r="P15" s="149"/>
      <c r="Q15" s="149"/>
      <c r="R15" s="149"/>
      <c r="S15" s="149"/>
      <c r="T15" s="149"/>
    </row>
    <row r="16" spans="1:54">
      <c r="O16" s="152"/>
      <c r="P16" s="152"/>
      <c r="Q16" s="152"/>
      <c r="R16" s="152"/>
      <c r="S16" s="152"/>
      <c r="T16" s="152"/>
    </row>
    <row r="17" spans="15:20">
      <c r="O17" s="152"/>
      <c r="P17" s="152"/>
      <c r="Q17" s="152"/>
      <c r="R17" s="152"/>
      <c r="S17" s="152"/>
      <c r="T17" s="152"/>
    </row>
    <row r="18" spans="15:20">
      <c r="O18" s="152"/>
      <c r="P18" s="152"/>
      <c r="Q18" s="152"/>
      <c r="R18" s="152"/>
      <c r="S18" s="152"/>
      <c r="T18" s="152"/>
    </row>
    <row r="19" spans="15:20">
      <c r="O19" s="152"/>
      <c r="P19" s="152"/>
      <c r="Q19" s="152"/>
      <c r="R19" s="152"/>
      <c r="S19" s="152"/>
      <c r="T19" s="152"/>
    </row>
    <row r="20" spans="15:20">
      <c r="O20" s="152"/>
      <c r="P20" s="152"/>
      <c r="Q20" s="152"/>
      <c r="R20" s="152"/>
      <c r="S20" s="152"/>
      <c r="T20" s="152"/>
    </row>
  </sheetData>
  <mergeCells count="6">
    <mergeCell ref="AW1:AZ1"/>
    <mergeCell ref="F1:H1"/>
    <mergeCell ref="O1:R1"/>
    <mergeCell ref="V1:X1"/>
    <mergeCell ref="AF1:AJ1"/>
    <mergeCell ref="AP1:AS1"/>
  </mergeCells>
  <pageMargins left="0.7" right="0.7" top="0.75" bottom="0.75" header="0.3" footer="0.3"/>
  <pageSetup paperSize="9" scale="2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P70"/>
  <sheetViews>
    <sheetView view="pageBreakPreview" zoomScaleNormal="100" zoomScaleSheetLayoutView="100" workbookViewId="0">
      <selection activeCell="B8" sqref="B8:N8"/>
    </sheetView>
  </sheetViews>
  <sheetFormatPr defaultColWidth="9.140625" defaultRowHeight="15"/>
  <cols>
    <col min="1" max="14" width="9.140625" style="277"/>
    <col min="15" max="15" width="21.42578125" style="277" customWidth="1"/>
    <col min="16" max="16" width="18.140625" style="277" customWidth="1"/>
    <col min="17" max="16384" width="9.140625" style="277"/>
  </cols>
  <sheetData>
    <row r="1" spans="1:16">
      <c r="A1" s="742"/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</row>
    <row r="2" spans="1:16" ht="16.5" customHeight="1">
      <c r="A2" s="743" t="s">
        <v>245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</row>
    <row r="3" spans="1:16" ht="15" customHeight="1">
      <c r="A3" s="743"/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</row>
    <row r="4" spans="1:16" ht="6.75" customHeight="1">
      <c r="A4" s="743"/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</row>
    <row r="5" spans="1:16" ht="40.5" customHeight="1">
      <c r="A5" s="744" t="s">
        <v>7</v>
      </c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6"/>
      <c r="O5" s="28" t="s">
        <v>8</v>
      </c>
      <c r="P5" s="28" t="s">
        <v>9</v>
      </c>
    </row>
    <row r="6" spans="1:16" ht="26.25" customHeight="1">
      <c r="A6" s="734" t="s">
        <v>246</v>
      </c>
      <c r="B6" s="735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6"/>
    </row>
    <row r="7" spans="1:16" ht="27" customHeight="1">
      <c r="A7" s="278">
        <v>1</v>
      </c>
      <c r="B7" s="733" t="s">
        <v>247</v>
      </c>
      <c r="C7" s="733"/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273" t="s">
        <v>248</v>
      </c>
      <c r="P7" s="279"/>
    </row>
    <row r="8" spans="1:16" ht="24.75" customHeight="1">
      <c r="A8" s="278">
        <v>2</v>
      </c>
      <c r="B8" s="733" t="s">
        <v>249</v>
      </c>
      <c r="C8" s="733"/>
      <c r="D8" s="733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273" t="s">
        <v>248</v>
      </c>
      <c r="P8" s="279"/>
    </row>
    <row r="9" spans="1:16" ht="24.75" customHeight="1">
      <c r="A9" s="278">
        <v>3</v>
      </c>
      <c r="B9" s="733" t="s">
        <v>250</v>
      </c>
      <c r="C9" s="733"/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273" t="s">
        <v>251</v>
      </c>
      <c r="P9" s="279"/>
    </row>
    <row r="10" spans="1:16" ht="38.25" customHeight="1">
      <c r="A10" s="278">
        <v>4</v>
      </c>
      <c r="B10" s="733" t="s">
        <v>252</v>
      </c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3"/>
      <c r="O10" s="273" t="s">
        <v>248</v>
      </c>
      <c r="P10" s="279"/>
    </row>
    <row r="11" spans="1:16" ht="18.75" customHeight="1">
      <c r="A11" s="278">
        <v>5</v>
      </c>
      <c r="B11" s="733" t="s">
        <v>253</v>
      </c>
      <c r="C11" s="733"/>
      <c r="D11" s="733"/>
      <c r="E11" s="733"/>
      <c r="F11" s="733"/>
      <c r="G11" s="733"/>
      <c r="H11" s="733"/>
      <c r="I11" s="733"/>
      <c r="J11" s="733"/>
      <c r="K11" s="733"/>
      <c r="L11" s="733"/>
      <c r="M11" s="733"/>
      <c r="N11" s="733"/>
      <c r="O11" s="273" t="s">
        <v>251</v>
      </c>
      <c r="P11" s="279"/>
    </row>
    <row r="12" spans="1:16" ht="41.25" customHeight="1">
      <c r="A12" s="278">
        <v>6</v>
      </c>
      <c r="B12" s="733" t="s">
        <v>254</v>
      </c>
      <c r="C12" s="733"/>
      <c r="D12" s="733"/>
      <c r="E12" s="733"/>
      <c r="F12" s="733"/>
      <c r="G12" s="733"/>
      <c r="H12" s="733"/>
      <c r="I12" s="733"/>
      <c r="J12" s="733"/>
      <c r="K12" s="733"/>
      <c r="L12" s="733"/>
      <c r="M12" s="733"/>
      <c r="N12" s="733"/>
      <c r="O12" s="273" t="s">
        <v>251</v>
      </c>
      <c r="P12" s="279"/>
    </row>
    <row r="13" spans="1:16" ht="28.5" customHeight="1">
      <c r="A13" s="278">
        <v>7</v>
      </c>
      <c r="B13" s="733" t="s">
        <v>255</v>
      </c>
      <c r="C13" s="733"/>
      <c r="D13" s="733"/>
      <c r="E13" s="733"/>
      <c r="F13" s="733"/>
      <c r="G13" s="733"/>
      <c r="H13" s="733"/>
      <c r="I13" s="733"/>
      <c r="J13" s="733"/>
      <c r="K13" s="733"/>
      <c r="L13" s="733"/>
      <c r="M13" s="733"/>
      <c r="N13" s="733"/>
      <c r="O13" s="280" t="s">
        <v>248</v>
      </c>
      <c r="P13" s="279"/>
    </row>
    <row r="14" spans="1:16" ht="42.75" customHeight="1">
      <c r="A14" s="278">
        <v>8</v>
      </c>
      <c r="B14" s="733" t="s">
        <v>256</v>
      </c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M14" s="733"/>
      <c r="N14" s="733"/>
      <c r="O14" s="281" t="s">
        <v>257</v>
      </c>
      <c r="P14" s="279"/>
    </row>
    <row r="15" spans="1:16" ht="42" customHeight="1">
      <c r="A15" s="278">
        <v>9</v>
      </c>
      <c r="B15" s="733" t="s">
        <v>258</v>
      </c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280" t="s">
        <v>248</v>
      </c>
      <c r="P15" s="279"/>
    </row>
    <row r="16" spans="1:16" ht="32.25" customHeight="1">
      <c r="A16" s="278">
        <v>10</v>
      </c>
      <c r="B16" s="733" t="s">
        <v>259</v>
      </c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280" t="s">
        <v>251</v>
      </c>
      <c r="P16" s="279"/>
    </row>
    <row r="17" spans="1:16" ht="45.75" customHeight="1">
      <c r="A17" s="278">
        <v>11</v>
      </c>
      <c r="B17" s="733" t="s">
        <v>260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273" t="s">
        <v>261</v>
      </c>
      <c r="P17" s="279"/>
    </row>
    <row r="18" spans="1:16" ht="55.5" customHeight="1">
      <c r="A18" s="278">
        <v>12</v>
      </c>
      <c r="B18" s="733" t="s">
        <v>262</v>
      </c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280" t="s">
        <v>248</v>
      </c>
      <c r="P18" s="279"/>
    </row>
    <row r="19" spans="1:16" ht="66" customHeight="1">
      <c r="A19" s="278">
        <v>13</v>
      </c>
      <c r="B19" s="733" t="s">
        <v>263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280" t="s">
        <v>248</v>
      </c>
      <c r="P19" s="279"/>
    </row>
    <row r="20" spans="1:16" ht="39.75" hidden="1" customHeight="1">
      <c r="A20" s="734" t="s">
        <v>264</v>
      </c>
      <c r="B20" s="735"/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735"/>
      <c r="N20" s="735"/>
      <c r="O20" s="735"/>
      <c r="P20" s="736"/>
    </row>
    <row r="21" spans="1:16" ht="27" hidden="1" customHeight="1">
      <c r="A21" s="278">
        <v>1</v>
      </c>
      <c r="B21" s="733" t="s">
        <v>247</v>
      </c>
      <c r="C21" s="733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273" t="s">
        <v>248</v>
      </c>
      <c r="P21" s="279"/>
    </row>
    <row r="22" spans="1:16" ht="24.75" hidden="1" customHeight="1">
      <c r="A22" s="278">
        <v>2</v>
      </c>
      <c r="B22" s="733" t="s">
        <v>249</v>
      </c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273" t="s">
        <v>248</v>
      </c>
      <c r="P22" s="279"/>
    </row>
    <row r="23" spans="1:16" ht="20.25" hidden="1" customHeight="1">
      <c r="A23" s="278">
        <v>3</v>
      </c>
      <c r="B23" s="733" t="s">
        <v>265</v>
      </c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273" t="s">
        <v>251</v>
      </c>
      <c r="P23" s="279"/>
    </row>
    <row r="24" spans="1:16" ht="39.75" hidden="1" customHeight="1">
      <c r="A24" s="278">
        <v>4</v>
      </c>
      <c r="B24" s="741" t="s">
        <v>266</v>
      </c>
      <c r="C24" s="741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273" t="s">
        <v>251</v>
      </c>
      <c r="P24" s="279"/>
    </row>
    <row r="25" spans="1:16" ht="34.5" hidden="1" customHeight="1">
      <c r="A25" s="278">
        <v>5</v>
      </c>
      <c r="B25" s="733" t="s">
        <v>267</v>
      </c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M25" s="733"/>
      <c r="N25" s="733"/>
      <c r="O25" s="273" t="s">
        <v>251</v>
      </c>
      <c r="P25" s="279"/>
    </row>
    <row r="26" spans="1:16" ht="39.75" hidden="1" customHeight="1">
      <c r="A26" s="734" t="s">
        <v>268</v>
      </c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6"/>
    </row>
    <row r="27" spans="1:16" ht="27" hidden="1" customHeight="1">
      <c r="A27" s="278">
        <v>1</v>
      </c>
      <c r="B27" s="733" t="s">
        <v>247</v>
      </c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273" t="s">
        <v>248</v>
      </c>
      <c r="P27" s="279"/>
    </row>
    <row r="28" spans="1:16" ht="24.75" hidden="1" customHeight="1">
      <c r="A28" s="278">
        <v>2</v>
      </c>
      <c r="B28" s="733" t="s">
        <v>249</v>
      </c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273" t="s">
        <v>248</v>
      </c>
      <c r="P28" s="279"/>
    </row>
    <row r="29" spans="1:16" s="283" customFormat="1" ht="45.75" hidden="1" customHeight="1">
      <c r="A29" s="278">
        <v>3</v>
      </c>
      <c r="B29" s="733" t="s">
        <v>269</v>
      </c>
      <c r="C29" s="733"/>
      <c r="D29" s="733"/>
      <c r="E29" s="733"/>
      <c r="F29" s="733"/>
      <c r="G29" s="733"/>
      <c r="H29" s="733"/>
      <c r="I29" s="733"/>
      <c r="J29" s="733"/>
      <c r="K29" s="733"/>
      <c r="L29" s="733"/>
      <c r="M29" s="733"/>
      <c r="N29" s="733"/>
      <c r="O29" s="282" t="s">
        <v>257</v>
      </c>
      <c r="P29" s="279"/>
    </row>
    <row r="30" spans="1:16" ht="60.75" hidden="1" customHeight="1">
      <c r="A30" s="278">
        <v>3</v>
      </c>
      <c r="B30" s="733" t="s">
        <v>270</v>
      </c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282" t="s">
        <v>271</v>
      </c>
      <c r="P30" s="279"/>
    </row>
    <row r="31" spans="1:16" ht="39.75" hidden="1" customHeight="1">
      <c r="A31" s="734" t="s">
        <v>272</v>
      </c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6"/>
    </row>
    <row r="32" spans="1:16" ht="27" hidden="1" customHeight="1">
      <c r="A32" s="278">
        <v>1</v>
      </c>
      <c r="B32" s="733" t="s">
        <v>247</v>
      </c>
      <c r="C32" s="733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273" t="s">
        <v>248</v>
      </c>
      <c r="P32" s="279"/>
    </row>
    <row r="33" spans="1:16" ht="24.75" hidden="1" customHeight="1">
      <c r="A33" s="278">
        <v>2</v>
      </c>
      <c r="B33" s="733" t="s">
        <v>249</v>
      </c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273" t="s">
        <v>248</v>
      </c>
      <c r="P33" s="279"/>
    </row>
    <row r="34" spans="1:16" ht="27" hidden="1" customHeight="1">
      <c r="A34" s="278">
        <v>3</v>
      </c>
      <c r="B34" s="733" t="s">
        <v>273</v>
      </c>
      <c r="C34" s="733"/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273" t="s">
        <v>251</v>
      </c>
      <c r="P34" s="279"/>
    </row>
    <row r="35" spans="1:16" ht="26.25" hidden="1" customHeight="1">
      <c r="A35" s="278">
        <v>4</v>
      </c>
      <c r="B35" s="733" t="s">
        <v>274</v>
      </c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273" t="s">
        <v>251</v>
      </c>
      <c r="P35" s="279"/>
    </row>
    <row r="36" spans="1:16" ht="30.75" hidden="1" customHeight="1">
      <c r="A36" s="278">
        <v>5</v>
      </c>
      <c r="B36" s="733" t="s">
        <v>275</v>
      </c>
      <c r="C36" s="733"/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273" t="s">
        <v>248</v>
      </c>
      <c r="P36" s="279"/>
    </row>
    <row r="37" spans="1:16" ht="39" customHeight="1">
      <c r="A37" s="734" t="s">
        <v>276</v>
      </c>
      <c r="B37" s="735"/>
      <c r="C37" s="735"/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6"/>
    </row>
    <row r="38" spans="1:16" ht="24.75" customHeight="1">
      <c r="A38" s="278">
        <v>1</v>
      </c>
      <c r="B38" s="738" t="s">
        <v>249</v>
      </c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40"/>
      <c r="O38" s="273" t="s">
        <v>248</v>
      </c>
      <c r="P38" s="279"/>
    </row>
    <row r="39" spans="1:16" ht="27" customHeight="1">
      <c r="A39" s="278">
        <v>2</v>
      </c>
      <c r="B39" s="737" t="s">
        <v>247</v>
      </c>
      <c r="C39" s="737"/>
      <c r="D39" s="737"/>
      <c r="E39" s="737"/>
      <c r="F39" s="737"/>
      <c r="G39" s="737"/>
      <c r="H39" s="737"/>
      <c r="I39" s="737"/>
      <c r="J39" s="737"/>
      <c r="K39" s="737"/>
      <c r="L39" s="737"/>
      <c r="M39" s="737"/>
      <c r="N39" s="737"/>
      <c r="O39" s="273" t="s">
        <v>248</v>
      </c>
      <c r="P39" s="279"/>
    </row>
    <row r="40" spans="1:16" ht="36" customHeight="1">
      <c r="A40" s="278">
        <v>3</v>
      </c>
      <c r="B40" s="733" t="s">
        <v>277</v>
      </c>
      <c r="C40" s="733"/>
      <c r="D40" s="733"/>
      <c r="E40" s="733"/>
      <c r="F40" s="733"/>
      <c r="G40" s="733"/>
      <c r="H40" s="733"/>
      <c r="I40" s="733"/>
      <c r="J40" s="733"/>
      <c r="K40" s="733"/>
      <c r="L40" s="733"/>
      <c r="M40" s="733"/>
      <c r="N40" s="733"/>
      <c r="O40" s="273" t="s">
        <v>251</v>
      </c>
      <c r="P40" s="279"/>
    </row>
    <row r="41" spans="1:16" ht="45" customHeight="1">
      <c r="A41" s="278">
        <v>4</v>
      </c>
      <c r="B41" s="730" t="s">
        <v>278</v>
      </c>
      <c r="C41" s="731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2"/>
      <c r="O41" s="273" t="s">
        <v>251</v>
      </c>
      <c r="P41" s="279"/>
    </row>
    <row r="42" spans="1:16" ht="45" customHeight="1">
      <c r="A42" s="278">
        <v>5</v>
      </c>
      <c r="B42" s="730" t="s">
        <v>279</v>
      </c>
      <c r="C42" s="731"/>
      <c r="D42" s="731"/>
      <c r="E42" s="731"/>
      <c r="F42" s="731"/>
      <c r="G42" s="731"/>
      <c r="H42" s="731"/>
      <c r="I42" s="731"/>
      <c r="J42" s="731"/>
      <c r="K42" s="731"/>
      <c r="L42" s="731"/>
      <c r="M42" s="731"/>
      <c r="N42" s="732"/>
      <c r="O42" s="273" t="s">
        <v>251</v>
      </c>
      <c r="P42" s="279"/>
    </row>
    <row r="43" spans="1:16" ht="51" customHeight="1">
      <c r="A43" s="278">
        <v>6</v>
      </c>
      <c r="B43" s="733" t="s">
        <v>280</v>
      </c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  <c r="N43" s="733"/>
      <c r="O43" s="273" t="s">
        <v>251</v>
      </c>
      <c r="P43" s="279"/>
    </row>
    <row r="44" spans="1:16" ht="34.5" customHeight="1">
      <c r="A44" s="278">
        <v>7</v>
      </c>
      <c r="B44" s="730" t="s">
        <v>281</v>
      </c>
      <c r="C44" s="731"/>
      <c r="D44" s="731"/>
      <c r="E44" s="731"/>
      <c r="F44" s="731"/>
      <c r="G44" s="731"/>
      <c r="H44" s="731"/>
      <c r="I44" s="731"/>
      <c r="J44" s="731"/>
      <c r="K44" s="731"/>
      <c r="L44" s="731"/>
      <c r="M44" s="731"/>
      <c r="N44" s="732"/>
      <c r="O44" s="273" t="s">
        <v>251</v>
      </c>
      <c r="P44" s="279"/>
    </row>
    <row r="45" spans="1:16" ht="32.25" customHeight="1">
      <c r="A45" s="278">
        <v>8</v>
      </c>
      <c r="B45" s="733" t="s">
        <v>282</v>
      </c>
      <c r="C45" s="733"/>
      <c r="D45" s="733"/>
      <c r="E45" s="733"/>
      <c r="F45" s="733"/>
      <c r="G45" s="733"/>
      <c r="H45" s="733"/>
      <c r="I45" s="733"/>
      <c r="J45" s="733"/>
      <c r="K45" s="733"/>
      <c r="L45" s="733"/>
      <c r="M45" s="733"/>
      <c r="N45" s="733"/>
      <c r="O45" s="273" t="s">
        <v>248</v>
      </c>
      <c r="P45" s="279"/>
    </row>
    <row r="46" spans="1:16" ht="69" customHeight="1">
      <c r="A46" s="278">
        <v>9</v>
      </c>
      <c r="B46" s="733" t="s">
        <v>283</v>
      </c>
      <c r="C46" s="733"/>
      <c r="D46" s="733"/>
      <c r="E46" s="733"/>
      <c r="F46" s="733"/>
      <c r="G46" s="733"/>
      <c r="H46" s="733"/>
      <c r="I46" s="733"/>
      <c r="J46" s="733"/>
      <c r="K46" s="733"/>
      <c r="L46" s="733"/>
      <c r="M46" s="733"/>
      <c r="N46" s="733"/>
      <c r="O46" s="273" t="s">
        <v>251</v>
      </c>
      <c r="P46" s="279"/>
    </row>
    <row r="47" spans="1:16" ht="39" hidden="1" customHeight="1">
      <c r="A47" s="734" t="s">
        <v>284</v>
      </c>
      <c r="B47" s="735"/>
      <c r="C47" s="735"/>
      <c r="D47" s="735"/>
      <c r="E47" s="735"/>
      <c r="F47" s="735"/>
      <c r="G47" s="735"/>
      <c r="H47" s="735"/>
      <c r="I47" s="735"/>
      <c r="J47" s="735"/>
      <c r="K47" s="735"/>
      <c r="L47" s="735"/>
      <c r="M47" s="735"/>
      <c r="N47" s="735"/>
      <c r="O47" s="735"/>
      <c r="P47" s="736"/>
    </row>
    <row r="48" spans="1:16" ht="27" hidden="1" customHeight="1">
      <c r="A48" s="278">
        <v>1</v>
      </c>
      <c r="B48" s="733" t="s">
        <v>247</v>
      </c>
      <c r="C48" s="733"/>
      <c r="D48" s="733"/>
      <c r="E48" s="733"/>
      <c r="F48" s="733"/>
      <c r="G48" s="733"/>
      <c r="H48" s="733"/>
      <c r="I48" s="733"/>
      <c r="J48" s="733"/>
      <c r="K48" s="733"/>
      <c r="L48" s="733"/>
      <c r="M48" s="733"/>
      <c r="N48" s="733"/>
      <c r="O48" s="273" t="s">
        <v>248</v>
      </c>
      <c r="P48" s="279"/>
    </row>
    <row r="49" spans="1:16" ht="24.75" hidden="1" customHeight="1">
      <c r="A49" s="278">
        <v>2</v>
      </c>
      <c r="B49" s="733" t="s">
        <v>249</v>
      </c>
      <c r="C49" s="733"/>
      <c r="D49" s="733"/>
      <c r="E49" s="733"/>
      <c r="F49" s="733"/>
      <c r="G49" s="733"/>
      <c r="H49" s="733"/>
      <c r="I49" s="733"/>
      <c r="J49" s="733"/>
      <c r="K49" s="733"/>
      <c r="L49" s="733"/>
      <c r="M49" s="733"/>
      <c r="N49" s="733"/>
      <c r="O49" s="273" t="s">
        <v>248</v>
      </c>
      <c r="P49" s="279"/>
    </row>
    <row r="50" spans="1:16" ht="39.75" hidden="1" customHeight="1">
      <c r="A50" s="278">
        <v>3</v>
      </c>
      <c r="B50" s="733" t="s">
        <v>285</v>
      </c>
      <c r="C50" s="733"/>
      <c r="D50" s="733"/>
      <c r="E50" s="733"/>
      <c r="F50" s="733"/>
      <c r="G50" s="733"/>
      <c r="H50" s="733"/>
      <c r="I50" s="733"/>
      <c r="J50" s="733"/>
      <c r="K50" s="733"/>
      <c r="L50" s="733"/>
      <c r="M50" s="733"/>
      <c r="N50" s="733"/>
      <c r="O50" s="273" t="s">
        <v>248</v>
      </c>
      <c r="P50" s="279"/>
    </row>
    <row r="51" spans="1:16" ht="29.25" hidden="1" customHeight="1">
      <c r="A51" s="278">
        <v>4</v>
      </c>
      <c r="B51" s="730" t="s">
        <v>286</v>
      </c>
      <c r="C51" s="731"/>
      <c r="D51" s="731"/>
      <c r="E51" s="731"/>
      <c r="F51" s="731"/>
      <c r="G51" s="731"/>
      <c r="H51" s="731"/>
      <c r="I51" s="731"/>
      <c r="J51" s="731"/>
      <c r="K51" s="731"/>
      <c r="L51" s="731"/>
      <c r="M51" s="731"/>
      <c r="N51" s="732"/>
      <c r="O51" s="273" t="s">
        <v>251</v>
      </c>
      <c r="P51" s="279"/>
    </row>
    <row r="52" spans="1:16" ht="45" hidden="1" customHeight="1">
      <c r="A52" s="278">
        <v>5</v>
      </c>
      <c r="B52" s="730" t="s">
        <v>287</v>
      </c>
      <c r="C52" s="731"/>
      <c r="D52" s="731"/>
      <c r="E52" s="731"/>
      <c r="F52" s="731"/>
      <c r="G52" s="731"/>
      <c r="H52" s="731"/>
      <c r="I52" s="731"/>
      <c r="J52" s="731"/>
      <c r="K52" s="731"/>
      <c r="L52" s="731"/>
      <c r="M52" s="731"/>
      <c r="N52" s="732"/>
      <c r="O52" s="273" t="s">
        <v>251</v>
      </c>
      <c r="P52" s="279"/>
    </row>
    <row r="53" spans="1:16" ht="35.25" hidden="1" customHeight="1">
      <c r="A53" s="278">
        <v>6</v>
      </c>
      <c r="B53" s="733" t="s">
        <v>288</v>
      </c>
      <c r="C53" s="733"/>
      <c r="D53" s="733"/>
      <c r="E53" s="733"/>
      <c r="F53" s="733"/>
      <c r="G53" s="733"/>
      <c r="H53" s="733"/>
      <c r="I53" s="733"/>
      <c r="J53" s="733"/>
      <c r="K53" s="733"/>
      <c r="L53" s="733"/>
      <c r="M53" s="733"/>
      <c r="N53" s="733"/>
      <c r="O53" s="273" t="s">
        <v>251</v>
      </c>
      <c r="P53" s="279"/>
    </row>
    <row r="54" spans="1:16" ht="34.5" hidden="1" customHeight="1">
      <c r="A54" s="278">
        <v>7</v>
      </c>
      <c r="B54" s="730" t="s">
        <v>289</v>
      </c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2"/>
      <c r="O54" s="273" t="s">
        <v>251</v>
      </c>
      <c r="P54" s="279"/>
    </row>
    <row r="55" spans="1:16" ht="32.25" hidden="1" customHeight="1">
      <c r="A55" s="278">
        <v>8</v>
      </c>
      <c r="B55" s="733" t="s">
        <v>290</v>
      </c>
      <c r="C55" s="733"/>
      <c r="D55" s="733"/>
      <c r="E55" s="733"/>
      <c r="F55" s="733"/>
      <c r="G55" s="733"/>
      <c r="H55" s="733"/>
      <c r="I55" s="733"/>
      <c r="J55" s="733"/>
      <c r="K55" s="733"/>
      <c r="L55" s="733"/>
      <c r="M55" s="733"/>
      <c r="N55" s="733"/>
      <c r="O55" s="273" t="s">
        <v>251</v>
      </c>
      <c r="P55" s="279"/>
    </row>
    <row r="56" spans="1:16" ht="32.25" hidden="1" customHeight="1">
      <c r="A56" s="278">
        <v>9</v>
      </c>
      <c r="B56" s="733" t="s">
        <v>282</v>
      </c>
      <c r="C56" s="733"/>
      <c r="D56" s="733"/>
      <c r="E56" s="733"/>
      <c r="F56" s="733"/>
      <c r="G56" s="733"/>
      <c r="H56" s="733"/>
      <c r="I56" s="733"/>
      <c r="J56" s="733"/>
      <c r="K56" s="733"/>
      <c r="L56" s="733"/>
      <c r="M56" s="733"/>
      <c r="N56" s="733"/>
      <c r="O56" s="273" t="s">
        <v>248</v>
      </c>
      <c r="P56" s="279"/>
    </row>
    <row r="57" spans="1:16" ht="69" hidden="1" customHeight="1">
      <c r="A57" s="278">
        <v>10</v>
      </c>
      <c r="B57" s="733" t="s">
        <v>283</v>
      </c>
      <c r="C57" s="733"/>
      <c r="D57" s="733"/>
      <c r="E57" s="733"/>
      <c r="F57" s="733"/>
      <c r="G57" s="733"/>
      <c r="H57" s="733"/>
      <c r="I57" s="733"/>
      <c r="J57" s="733"/>
      <c r="K57" s="733"/>
      <c r="L57" s="733"/>
      <c r="M57" s="733"/>
      <c r="N57" s="733"/>
      <c r="O57" s="273" t="s">
        <v>251</v>
      </c>
      <c r="P57" s="279"/>
    </row>
    <row r="58" spans="1:16" ht="39" hidden="1" customHeight="1">
      <c r="A58" s="734" t="s">
        <v>291</v>
      </c>
      <c r="B58" s="735"/>
      <c r="C58" s="735"/>
      <c r="D58" s="735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736"/>
    </row>
    <row r="59" spans="1:16" ht="27" hidden="1" customHeight="1">
      <c r="A59" s="278">
        <v>1</v>
      </c>
      <c r="B59" s="733" t="s">
        <v>247</v>
      </c>
      <c r="C59" s="733"/>
      <c r="D59" s="733"/>
      <c r="E59" s="733"/>
      <c r="F59" s="733"/>
      <c r="G59" s="733"/>
      <c r="H59" s="733"/>
      <c r="I59" s="733"/>
      <c r="J59" s="733"/>
      <c r="K59" s="733"/>
      <c r="L59" s="733"/>
      <c r="M59" s="733"/>
      <c r="N59" s="733"/>
      <c r="O59" s="273" t="s">
        <v>248</v>
      </c>
      <c r="P59" s="279"/>
    </row>
    <row r="60" spans="1:16" ht="24.75" hidden="1" customHeight="1">
      <c r="A60" s="278">
        <v>2</v>
      </c>
      <c r="B60" s="733" t="s">
        <v>249</v>
      </c>
      <c r="C60" s="733"/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273" t="s">
        <v>248</v>
      </c>
      <c r="P60" s="279"/>
    </row>
    <row r="61" spans="1:16" ht="39.75" hidden="1" customHeight="1">
      <c r="A61" s="278">
        <v>3</v>
      </c>
      <c r="B61" s="733" t="s">
        <v>292</v>
      </c>
      <c r="C61" s="733"/>
      <c r="D61" s="733"/>
      <c r="E61" s="733"/>
      <c r="F61" s="733"/>
      <c r="G61" s="733"/>
      <c r="H61" s="733"/>
      <c r="I61" s="733"/>
      <c r="J61" s="733"/>
      <c r="K61" s="733"/>
      <c r="L61" s="733"/>
      <c r="M61" s="733"/>
      <c r="N61" s="733"/>
      <c r="O61" s="273" t="s">
        <v>248</v>
      </c>
      <c r="P61" s="279"/>
    </row>
    <row r="62" spans="1:16" ht="29.25" hidden="1" customHeight="1">
      <c r="A62" s="278">
        <v>4</v>
      </c>
      <c r="B62" s="730" t="s">
        <v>286</v>
      </c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2"/>
      <c r="O62" s="273" t="s">
        <v>251</v>
      </c>
      <c r="P62" s="279"/>
    </row>
    <row r="63" spans="1:16" ht="45" hidden="1" customHeight="1">
      <c r="A63" s="278">
        <v>5</v>
      </c>
      <c r="B63" s="730" t="s">
        <v>287</v>
      </c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2"/>
      <c r="O63" s="273" t="s">
        <v>251</v>
      </c>
      <c r="P63" s="279"/>
    </row>
    <row r="64" spans="1:16" ht="35.25" hidden="1" customHeight="1">
      <c r="A64" s="278">
        <v>6</v>
      </c>
      <c r="B64" s="733" t="s">
        <v>293</v>
      </c>
      <c r="C64" s="733"/>
      <c r="D64" s="733"/>
      <c r="E64" s="733"/>
      <c r="F64" s="733"/>
      <c r="G64" s="733"/>
      <c r="H64" s="733"/>
      <c r="I64" s="733"/>
      <c r="J64" s="733"/>
      <c r="K64" s="733"/>
      <c r="L64" s="733"/>
      <c r="M64" s="733"/>
      <c r="N64" s="733"/>
      <c r="O64" s="273" t="s">
        <v>251</v>
      </c>
      <c r="P64" s="279"/>
    </row>
    <row r="65" spans="1:16" ht="34.5" hidden="1" customHeight="1">
      <c r="A65" s="278">
        <v>7</v>
      </c>
      <c r="B65" s="730" t="s">
        <v>289</v>
      </c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2"/>
      <c r="O65" s="273" t="s">
        <v>251</v>
      </c>
      <c r="P65" s="279"/>
    </row>
    <row r="66" spans="1:16" ht="32.25" hidden="1" customHeight="1">
      <c r="A66" s="278">
        <v>8</v>
      </c>
      <c r="B66" s="733" t="s">
        <v>290</v>
      </c>
      <c r="C66" s="733"/>
      <c r="D66" s="733"/>
      <c r="E66" s="733"/>
      <c r="F66" s="733"/>
      <c r="G66" s="733"/>
      <c r="H66" s="733"/>
      <c r="I66" s="733"/>
      <c r="J66" s="733"/>
      <c r="K66" s="733"/>
      <c r="L66" s="733"/>
      <c r="M66" s="733"/>
      <c r="N66" s="733"/>
      <c r="O66" s="273" t="s">
        <v>251</v>
      </c>
      <c r="P66" s="279"/>
    </row>
    <row r="67" spans="1:16" ht="32.25" hidden="1" customHeight="1">
      <c r="A67" s="278">
        <v>9</v>
      </c>
      <c r="B67" s="733" t="s">
        <v>294</v>
      </c>
      <c r="C67" s="733"/>
      <c r="D67" s="733"/>
      <c r="E67" s="733"/>
      <c r="F67" s="733"/>
      <c r="G67" s="733"/>
      <c r="H67" s="733"/>
      <c r="I67" s="733"/>
      <c r="J67" s="733"/>
      <c r="K67" s="733"/>
      <c r="L67" s="733"/>
      <c r="M67" s="733"/>
      <c r="N67" s="733"/>
      <c r="O67" s="273" t="s">
        <v>248</v>
      </c>
      <c r="P67" s="279"/>
    </row>
    <row r="68" spans="1:16" ht="69" hidden="1" customHeight="1">
      <c r="A68" s="278">
        <v>10</v>
      </c>
      <c r="B68" s="733" t="s">
        <v>283</v>
      </c>
      <c r="C68" s="733"/>
      <c r="D68" s="733"/>
      <c r="E68" s="733"/>
      <c r="F68" s="733"/>
      <c r="G68" s="733"/>
      <c r="H68" s="733"/>
      <c r="I68" s="733"/>
      <c r="J68" s="733"/>
      <c r="K68" s="733"/>
      <c r="L68" s="733"/>
      <c r="M68" s="733"/>
      <c r="N68" s="733"/>
      <c r="O68" s="273" t="s">
        <v>251</v>
      </c>
      <c r="P68" s="279"/>
    </row>
    <row r="69" spans="1:16" ht="154.5" customHeight="1">
      <c r="A69" s="5"/>
      <c r="B69" s="728" t="s">
        <v>295</v>
      </c>
      <c r="C69" s="728"/>
      <c r="D69" s="728"/>
      <c r="E69" s="728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</row>
    <row r="70" spans="1:16" ht="36.75" customHeight="1">
      <c r="A70" s="4"/>
      <c r="B70" s="729" t="s">
        <v>238</v>
      </c>
      <c r="C70" s="729"/>
      <c r="D70" s="729"/>
      <c r="E70" s="729"/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</row>
  </sheetData>
  <mergeCells count="68">
    <mergeCell ref="B14:N14"/>
    <mergeCell ref="A1:P1"/>
    <mergeCell ref="A2:P4"/>
    <mergeCell ref="A5:N5"/>
    <mergeCell ref="A6:P6"/>
    <mergeCell ref="B7:N7"/>
    <mergeCell ref="B8:N8"/>
    <mergeCell ref="B9:N9"/>
    <mergeCell ref="B10:N10"/>
    <mergeCell ref="B11:N11"/>
    <mergeCell ref="B12:N12"/>
    <mergeCell ref="B13:N13"/>
    <mergeCell ref="A26:P26"/>
    <mergeCell ref="B15:N15"/>
    <mergeCell ref="B16:N16"/>
    <mergeCell ref="B17:N17"/>
    <mergeCell ref="B18:N18"/>
    <mergeCell ref="B19:N19"/>
    <mergeCell ref="A20:P20"/>
    <mergeCell ref="B21:N21"/>
    <mergeCell ref="B22:N22"/>
    <mergeCell ref="B23:N23"/>
    <mergeCell ref="B24:N24"/>
    <mergeCell ref="B25:N25"/>
    <mergeCell ref="B38:N38"/>
    <mergeCell ref="B27:N27"/>
    <mergeCell ref="B28:N28"/>
    <mergeCell ref="B29:N29"/>
    <mergeCell ref="B30:N30"/>
    <mergeCell ref="A31:P31"/>
    <mergeCell ref="B32:N32"/>
    <mergeCell ref="B33:N33"/>
    <mergeCell ref="B34:N34"/>
    <mergeCell ref="B35:N35"/>
    <mergeCell ref="B36:N36"/>
    <mergeCell ref="A37:P37"/>
    <mergeCell ref="B50:N50"/>
    <mergeCell ref="B39:N39"/>
    <mergeCell ref="B40:N40"/>
    <mergeCell ref="B41:N41"/>
    <mergeCell ref="B42:N42"/>
    <mergeCell ref="B43:N43"/>
    <mergeCell ref="B44:N44"/>
    <mergeCell ref="B45:N45"/>
    <mergeCell ref="B46:N46"/>
    <mergeCell ref="A47:P47"/>
    <mergeCell ref="B48:N48"/>
    <mergeCell ref="B49:N49"/>
    <mergeCell ref="B62:N62"/>
    <mergeCell ref="B51:N51"/>
    <mergeCell ref="B52:N52"/>
    <mergeCell ref="B53:N53"/>
    <mergeCell ref="B54:N54"/>
    <mergeCell ref="B55:N55"/>
    <mergeCell ref="B56:N56"/>
    <mergeCell ref="B57:N57"/>
    <mergeCell ref="A58:P58"/>
    <mergeCell ref="B59:N59"/>
    <mergeCell ref="B60:N60"/>
    <mergeCell ref="B61:N61"/>
    <mergeCell ref="B69:P69"/>
    <mergeCell ref="B70:P70"/>
    <mergeCell ref="B63:N63"/>
    <mergeCell ref="B64:N64"/>
    <mergeCell ref="B65:N65"/>
    <mergeCell ref="B66:N66"/>
    <mergeCell ref="B67:N67"/>
    <mergeCell ref="B68:N68"/>
  </mergeCells>
  <hyperlinks>
    <hyperlink ref="B39:N39" location="'акт оценки авто'!A1" display="Акт о внутренней оценке или Заключение и отчет о независимой оценке"/>
    <hyperlink ref="B38:N38" location="'залоговая опись авто'!Область_печати" display="Залоговая опись"/>
  </hyperlinks>
  <pageMargins left="0.7" right="0.7" top="0.75" bottom="0.75" header="0.3" footer="0.3"/>
  <pageSetup paperSize="9" scale="51" orientation="portrait" r:id="rId1"/>
  <rowBreaks count="1" manualBreakCount="1">
    <brk id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123825</xdr:rowOff>
                  </from>
                  <to>
                    <xdr:col>15</xdr:col>
                    <xdr:colOff>381000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15</xdr:col>
                    <xdr:colOff>76200</xdr:colOff>
                    <xdr:row>10</xdr:row>
                    <xdr:rowOff>38100</xdr:rowOff>
                  </from>
                  <to>
                    <xdr:col>15</xdr:col>
                    <xdr:colOff>381000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85725</xdr:rowOff>
                  </from>
                  <to>
                    <xdr:col>15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85725</xdr:rowOff>
                  </from>
                  <to>
                    <xdr:col>15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15</xdr:col>
                    <xdr:colOff>76200</xdr:colOff>
                    <xdr:row>13</xdr:row>
                    <xdr:rowOff>171450</xdr:rowOff>
                  </from>
                  <to>
                    <xdr:col>15</xdr:col>
                    <xdr:colOff>381000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15</xdr:col>
                    <xdr:colOff>76200</xdr:colOff>
                    <xdr:row>14</xdr:row>
                    <xdr:rowOff>171450</xdr:rowOff>
                  </from>
                  <to>
                    <xdr:col>15</xdr:col>
                    <xdr:colOff>381000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7">
              <controlPr defaultSize="0" autoFill="0" autoLine="0" autoPict="0">
                <anchor moveWithCells="1">
                  <from>
                    <xdr:col>15</xdr:col>
                    <xdr:colOff>76200</xdr:colOff>
                    <xdr:row>18</xdr:row>
                    <xdr:rowOff>304800</xdr:rowOff>
                  </from>
                  <to>
                    <xdr:col>15</xdr:col>
                    <xdr:colOff>381000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8">
              <controlPr defaultSize="0" autoFill="0" autoLine="0" autoPict="0">
                <anchor moveWithCells="1">
                  <from>
                    <xdr:col>15</xdr:col>
                    <xdr:colOff>76200</xdr:colOff>
                    <xdr:row>22</xdr:row>
                    <xdr:rowOff>85725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9">
              <controlPr defaultSize="0" autoFill="0" autoLine="0" autoPict="0">
                <anchor moveWithCells="1">
                  <from>
                    <xdr:col>15</xdr:col>
                    <xdr:colOff>76200</xdr:colOff>
                    <xdr:row>23</xdr:row>
                    <xdr:rowOff>85725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10">
              <controlPr defaultSize="0" autoFill="0" autoLine="0" autoPict="0">
                <anchor moveWithCells="1">
                  <from>
                    <xdr:col>15</xdr:col>
                    <xdr:colOff>76200</xdr:colOff>
                    <xdr:row>24</xdr:row>
                    <xdr:rowOff>85725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11">
              <controlPr defaultSize="0" autoFill="0" autoLine="0" autoPict="0">
                <anchor moveWithCells="1">
                  <from>
                    <xdr:col>15</xdr:col>
                    <xdr:colOff>76200</xdr:colOff>
                    <xdr:row>35</xdr:row>
                    <xdr:rowOff>85725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12">
              <controlPr defaultSize="0" autoFill="0" autoLine="0" autoPict="0">
                <anchor moveWithCells="1">
                  <from>
                    <xdr:col>15</xdr:col>
                    <xdr:colOff>76200</xdr:colOff>
                    <xdr:row>39</xdr:row>
                    <xdr:rowOff>85725</xdr:rowOff>
                  </from>
                  <to>
                    <xdr:col>15</xdr:col>
                    <xdr:colOff>381000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13">
              <controlPr defaultSize="0" autoFill="0" autoLine="0" autoPict="0">
                <anchor moveWithCells="1">
                  <from>
                    <xdr:col>15</xdr:col>
                    <xdr:colOff>76200</xdr:colOff>
                    <xdr:row>40</xdr:row>
                    <xdr:rowOff>85725</xdr:rowOff>
                  </from>
                  <to>
                    <xdr:col>15</xdr:col>
                    <xdr:colOff>381000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14">
              <controlPr defaultSize="0" autoFill="0" autoLine="0" autoPict="0">
                <anchor moveWithCells="1">
                  <from>
                    <xdr:col>15</xdr:col>
                    <xdr:colOff>76200</xdr:colOff>
                    <xdr:row>17</xdr:row>
                    <xdr:rowOff>247650</xdr:rowOff>
                  </from>
                  <to>
                    <xdr:col>15</xdr:col>
                    <xdr:colOff>381000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15">
              <controlPr defaultSize="0" autoFill="0" autoLine="0" autoPict="0">
                <anchor moveWithCells="1">
                  <from>
                    <xdr:col>15</xdr:col>
                    <xdr:colOff>76200</xdr:colOff>
                    <xdr:row>42</xdr:row>
                    <xdr:rowOff>85725</xdr:rowOff>
                  </from>
                  <to>
                    <xdr:col>15</xdr:col>
                    <xdr:colOff>381000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16">
              <controlPr defaultSize="0" autoFill="0" autoLine="0" autoPict="0">
                <anchor moveWithCells="1">
                  <from>
                    <xdr:col>15</xdr:col>
                    <xdr:colOff>76200</xdr:colOff>
                    <xdr:row>44</xdr:row>
                    <xdr:rowOff>85725</xdr:rowOff>
                  </from>
                  <to>
                    <xdr:col>15</xdr:col>
                    <xdr:colOff>381000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Check Box 17">
              <controlPr defaultSize="0" autoFill="0" autoLine="0" autoPict="0">
                <anchor moveWithCells="1">
                  <from>
                    <xdr:col>15</xdr:col>
                    <xdr:colOff>76200</xdr:colOff>
                    <xdr:row>45</xdr:row>
                    <xdr:rowOff>85725</xdr:rowOff>
                  </from>
                  <to>
                    <xdr:col>15</xdr:col>
                    <xdr:colOff>381000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Check Box 18">
              <controlPr defaultSize="0" autoFill="0" autoLine="0" autoPict="0">
                <anchor moveWithCells="1">
                  <from>
                    <xdr:col>15</xdr:col>
                    <xdr:colOff>76200</xdr:colOff>
                    <xdr:row>68</xdr:row>
                    <xdr:rowOff>0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Check Box 19">
              <controlPr defaultSize="0" autoFill="0" autoLine="0" autoPict="0">
                <anchor moveWithCells="1">
                  <from>
                    <xdr:col>15</xdr:col>
                    <xdr:colOff>76200</xdr:colOff>
                    <xdr:row>68</xdr:row>
                    <xdr:rowOff>0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8" r:id="rId23" name="Check Box 20">
              <controlPr defaultSize="0" autoFill="0" autoLine="0" autoPict="0">
                <anchor moveWithCells="1">
                  <from>
                    <xdr:col>15</xdr:col>
                    <xdr:colOff>76200</xdr:colOff>
                    <xdr:row>68</xdr:row>
                    <xdr:rowOff>0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9" r:id="rId24" name="Check Box 21">
              <controlPr defaultSize="0" autoFill="0" autoLine="0" autoPict="0">
                <anchor moveWithCells="1">
                  <from>
                    <xdr:col>15</xdr:col>
                    <xdr:colOff>76200</xdr:colOff>
                    <xdr:row>43</xdr:row>
                    <xdr:rowOff>85725</xdr:rowOff>
                  </from>
                  <to>
                    <xdr:col>15</xdr:col>
                    <xdr:colOff>381000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0" r:id="rId25" name="Check Box 22">
              <controlPr defaultSize="0" autoFill="0" autoLine="0" autoPict="0">
                <anchor moveWithCells="1">
                  <from>
                    <xdr:col>15</xdr:col>
                    <xdr:colOff>76200</xdr:colOff>
                    <xdr:row>41</xdr:row>
                    <xdr:rowOff>85725</xdr:rowOff>
                  </from>
                  <to>
                    <xdr:col>15</xdr:col>
                    <xdr:colOff>381000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1" r:id="rId26" name="Check Box 23">
              <controlPr defaultSize="0" autoFill="0" autoLine="0" autoPict="0">
                <anchor moveWithCells="1">
                  <from>
                    <xdr:col>15</xdr:col>
                    <xdr:colOff>76200</xdr:colOff>
                    <xdr:row>6</xdr:row>
                    <xdr:rowOff>76200</xdr:rowOff>
                  </from>
                  <to>
                    <xdr:col>15</xdr:col>
                    <xdr:colOff>381000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2" r:id="rId27" name="Check Box 24">
              <controlPr defaultSize="0" autoFill="0" autoLine="0" autoPict="0">
                <anchor moveWithCells="1">
                  <from>
                    <xdr:col>15</xdr:col>
                    <xdr:colOff>76200</xdr:colOff>
                    <xdr:row>7</xdr:row>
                    <xdr:rowOff>66675</xdr:rowOff>
                  </from>
                  <to>
                    <xdr:col>15</xdr:col>
                    <xdr:colOff>381000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3" r:id="rId28" name="Check Box 25">
              <controlPr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66675</xdr:rowOff>
                  </from>
                  <to>
                    <xdr:col>15</xdr:col>
                    <xdr:colOff>381000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4" r:id="rId29" name="Check Box 26">
              <controlPr defaultSize="0" autoFill="0" autoLine="0" autoPict="0">
                <anchor moveWithCells="1">
                  <from>
                    <xdr:col>15</xdr:col>
                    <xdr:colOff>76200</xdr:colOff>
                    <xdr:row>11</xdr:row>
                    <xdr:rowOff>161925</xdr:rowOff>
                  </from>
                  <to>
                    <xdr:col>15</xdr:col>
                    <xdr:colOff>381000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5" r:id="rId30" name="Check Box 27">
              <controlPr defaultSize="0" autoFill="0" autoLine="0" autoPict="0">
                <anchor moveWithCells="1">
                  <from>
                    <xdr:col>15</xdr:col>
                    <xdr:colOff>76200</xdr:colOff>
                    <xdr:row>15</xdr:row>
                    <xdr:rowOff>123825</xdr:rowOff>
                  </from>
                  <to>
                    <xdr:col>15</xdr:col>
                    <xdr:colOff>381000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31" name="Check Box 28">
              <controlPr defaultSize="0" autoFill="0" autoLine="0" autoPict="0">
                <anchor moveWithCells="1">
                  <from>
                    <xdr:col>15</xdr:col>
                    <xdr:colOff>76200</xdr:colOff>
                    <xdr:row>16</xdr:row>
                    <xdr:rowOff>209550</xdr:rowOff>
                  </from>
                  <to>
                    <xdr:col>15</xdr:col>
                    <xdr:colOff>381000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32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20</xdr:row>
                    <xdr:rowOff>76200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8" r:id="rId33" name="Check Box 30">
              <controlPr defaultSize="0" autoFill="0" autoLine="0" autoPict="0">
                <anchor moveWithCells="1">
                  <from>
                    <xdr:col>15</xdr:col>
                    <xdr:colOff>76200</xdr:colOff>
                    <xdr:row>21</xdr:row>
                    <xdr:rowOff>66675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9" r:id="rId34" name="Check Box 31">
              <controlPr defaultSize="0" autoFill="0" autoLine="0" autoPict="0">
                <anchor moveWithCells="1">
                  <from>
                    <xdr:col>15</xdr:col>
                    <xdr:colOff>76200</xdr:colOff>
                    <xdr:row>26</xdr:row>
                    <xdr:rowOff>76200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0" r:id="rId35" name="Check Box 32">
              <controlPr defaultSize="0" autoFill="0" autoLine="0" autoPict="0">
                <anchor moveWithCells="1">
                  <from>
                    <xdr:col>15</xdr:col>
                    <xdr:colOff>76200</xdr:colOff>
                    <xdr:row>27</xdr:row>
                    <xdr:rowOff>66675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1" r:id="rId36" name="Check Box 33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66675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2" r:id="rId37" name="Check Box 34">
              <controlPr defaultSize="0" autoFill="0" autoLine="0" autoPict="0">
                <anchor moveWithCells="1">
                  <from>
                    <xdr:col>15</xdr:col>
                    <xdr:colOff>76200</xdr:colOff>
                    <xdr:row>29</xdr:row>
                    <xdr:rowOff>66675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3" r:id="rId38" name="Check Box 35">
              <controlPr defaultSize="0" autoFill="0" autoLine="0" autoPict="0">
                <anchor moveWithCells="1">
                  <from>
                    <xdr:col>15</xdr:col>
                    <xdr:colOff>76200</xdr:colOff>
                    <xdr:row>33</xdr:row>
                    <xdr:rowOff>85725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4" r:id="rId39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31</xdr:row>
                    <xdr:rowOff>76200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5" r:id="rId40" name="Check Box 37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66675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6" r:id="rId41" name="Check Box 38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85725</xdr:rowOff>
                  </from>
                  <to>
                    <xdr:col>15</xdr:col>
                    <xdr:colOff>381000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7" r:id="rId42" name="Check Box 39">
              <controlPr defaultSize="0" autoFill="0" autoLine="0" autoPict="0">
                <anchor moveWithCells="1">
                  <from>
                    <xdr:col>15</xdr:col>
                    <xdr:colOff>76200</xdr:colOff>
                    <xdr:row>38</xdr:row>
                    <xdr:rowOff>76200</xdr:rowOff>
                  </from>
                  <to>
                    <xdr:col>15</xdr:col>
                    <xdr:colOff>381000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8" r:id="rId43" name="Check Box 40">
              <controlPr defaultSize="0" autoFill="0" autoLine="0" autoPict="0">
                <anchor moveWithCells="1">
                  <from>
                    <xdr:col>15</xdr:col>
                    <xdr:colOff>76200</xdr:colOff>
                    <xdr:row>49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9" r:id="rId44" name="Check Box 41">
              <controlPr defaultSize="0" autoFill="0" autoLine="0" autoPict="0">
                <anchor moveWithCells="1">
                  <from>
                    <xdr:col>15</xdr:col>
                    <xdr:colOff>76200</xdr:colOff>
                    <xdr:row>50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0" r:id="rId45" name="Check Box 42">
              <controlPr defaultSize="0" autoFill="0" autoLine="0" autoPict="0">
                <anchor moveWithCells="1">
                  <from>
                    <xdr:col>15</xdr:col>
                    <xdr:colOff>76200</xdr:colOff>
                    <xdr:row>52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1" r:id="rId46" name="Check Box 43">
              <controlPr defaultSize="0" autoFill="0" autoLine="0" autoPict="0">
                <anchor moveWithCells="1">
                  <from>
                    <xdr:col>15</xdr:col>
                    <xdr:colOff>76200</xdr:colOff>
                    <xdr:row>54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47" name="Check Box 44">
              <controlPr defaultSize="0" autoFill="0" autoLine="0" autoPict="0">
                <anchor moveWithCells="1">
                  <from>
                    <xdr:col>15</xdr:col>
                    <xdr:colOff>76200</xdr:colOff>
                    <xdr:row>56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3" r:id="rId48" name="Check Box 45">
              <controlPr defaultSize="0" autoFill="0" autoLine="0" autoPict="0">
                <anchor moveWithCells="1">
                  <from>
                    <xdr:col>15</xdr:col>
                    <xdr:colOff>76200</xdr:colOff>
                    <xdr:row>53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4" r:id="rId49" name="Check Box 46">
              <controlPr defaultSize="0" autoFill="0" autoLine="0" autoPict="0">
                <anchor moveWithCells="1">
                  <from>
                    <xdr:col>15</xdr:col>
                    <xdr:colOff>76200</xdr:colOff>
                    <xdr:row>51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5" r:id="rId50" name="Check Box 47">
              <controlPr defaultSize="0" autoFill="0" autoLine="0" autoPict="0">
                <anchor moveWithCells="1">
                  <from>
                    <xdr:col>15</xdr:col>
                    <xdr:colOff>76200</xdr:colOff>
                    <xdr:row>47</xdr:row>
                    <xdr:rowOff>76200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6" r:id="rId51" name="Check Box 48">
              <controlPr defaultSize="0" autoFill="0" autoLine="0" autoPict="0">
                <anchor moveWithCells="1">
                  <from>
                    <xdr:col>15</xdr:col>
                    <xdr:colOff>76200</xdr:colOff>
                    <xdr:row>48</xdr:row>
                    <xdr:rowOff>66675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7" r:id="rId52" name="Check Box 49">
              <controlPr defaultSize="0" autoFill="0" autoLine="0" autoPict="0">
                <anchor moveWithCells="1">
                  <from>
                    <xdr:col>15</xdr:col>
                    <xdr:colOff>76200</xdr:colOff>
                    <xdr:row>55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8" r:id="rId53" name="Check Box 50">
              <controlPr defaultSize="0" autoFill="0" autoLine="0" autoPict="0">
                <anchor moveWithCells="1">
                  <from>
                    <xdr:col>15</xdr:col>
                    <xdr:colOff>76200</xdr:colOff>
                    <xdr:row>60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9" r:id="rId54" name="Check Box 51">
              <controlPr defaultSize="0" autoFill="0" autoLine="0" autoPict="0">
                <anchor moveWithCells="1">
                  <from>
                    <xdr:col>15</xdr:col>
                    <xdr:colOff>76200</xdr:colOff>
                    <xdr:row>61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0" r:id="rId55" name="Check Box 52">
              <controlPr defaultSize="0" autoFill="0" autoLine="0" autoPict="0">
                <anchor moveWithCells="1">
                  <from>
                    <xdr:col>15</xdr:col>
                    <xdr:colOff>76200</xdr:colOff>
                    <xdr:row>63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1" r:id="rId56" name="Check Box 53">
              <controlPr defaultSize="0" autoFill="0" autoLine="0" autoPict="0">
                <anchor moveWithCells="1">
                  <from>
                    <xdr:col>15</xdr:col>
                    <xdr:colOff>76200</xdr:colOff>
                    <xdr:row>65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2" r:id="rId57" name="Check Box 54">
              <controlPr defaultSize="0" autoFill="0" autoLine="0" autoPict="0">
                <anchor moveWithCells="1">
                  <from>
                    <xdr:col>15</xdr:col>
                    <xdr:colOff>76200</xdr:colOff>
                    <xdr:row>67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3" r:id="rId58" name="Check Box 55">
              <controlPr defaultSize="0" autoFill="0" autoLine="0" autoPict="0">
                <anchor moveWithCells="1">
                  <from>
                    <xdr:col>15</xdr:col>
                    <xdr:colOff>76200</xdr:colOff>
                    <xdr:row>64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4" r:id="rId59" name="Check Box 56">
              <controlPr defaultSize="0" autoFill="0" autoLine="0" autoPict="0">
                <anchor moveWithCells="1">
                  <from>
                    <xdr:col>15</xdr:col>
                    <xdr:colOff>76200</xdr:colOff>
                    <xdr:row>62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5" r:id="rId60" name="Check Box 57">
              <controlPr defaultSize="0" autoFill="0" autoLine="0" autoPict="0">
                <anchor moveWithCells="1">
                  <from>
                    <xdr:col>15</xdr:col>
                    <xdr:colOff>76200</xdr:colOff>
                    <xdr:row>58</xdr:row>
                    <xdr:rowOff>76200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6" r:id="rId61" name="Check Box 58">
              <controlPr defaultSize="0" autoFill="0" autoLine="0" autoPict="0">
                <anchor moveWithCells="1">
                  <from>
                    <xdr:col>15</xdr:col>
                    <xdr:colOff>76200</xdr:colOff>
                    <xdr:row>59</xdr:row>
                    <xdr:rowOff>66675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7" r:id="rId62" name="Check Box 59">
              <controlPr defaultSize="0" autoFill="0" autoLine="0" autoPict="0">
                <anchor moveWithCells="1">
                  <from>
                    <xdr:col>15</xdr:col>
                    <xdr:colOff>76200</xdr:colOff>
                    <xdr:row>66</xdr:row>
                    <xdr:rowOff>85725</xdr:rowOff>
                  </from>
                  <to>
                    <xdr:col>15</xdr:col>
                    <xdr:colOff>381000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8" r:id="rId63" name="Check Box 60">
              <controlPr defaultSize="0" autoFill="0" autoLine="0" autoPict="0">
                <anchor moveWithCells="1">
                  <from>
                    <xdr:col>15</xdr:col>
                    <xdr:colOff>76200</xdr:colOff>
                    <xdr:row>37</xdr:row>
                    <xdr:rowOff>66675</xdr:rowOff>
                  </from>
                  <to>
                    <xdr:col>15</xdr:col>
                    <xdr:colOff>381000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pageSetUpPr fitToPage="1"/>
  </sheetPr>
  <dimension ref="A1:G28"/>
  <sheetViews>
    <sheetView showGridLines="0" view="pageBreakPreview" zoomScaleNormal="90" zoomScaleSheetLayoutView="100" workbookViewId="0">
      <selection activeCell="B10" sqref="B10"/>
    </sheetView>
  </sheetViews>
  <sheetFormatPr defaultRowHeight="15"/>
  <cols>
    <col min="1" max="1" width="5" style="1" customWidth="1"/>
    <col min="2" max="2" width="97.5703125" style="1" customWidth="1"/>
    <col min="3" max="3" width="27" style="1" customWidth="1"/>
    <col min="4" max="4" width="20.140625" style="1" customWidth="1"/>
    <col min="5" max="5" width="40.140625" style="1" customWidth="1"/>
    <col min="6" max="255" width="9.140625" style="1"/>
    <col min="256" max="256" width="5" style="1" customWidth="1"/>
    <col min="257" max="257" width="97.5703125" style="1" customWidth="1"/>
    <col min="258" max="258" width="24.140625" style="1" customWidth="1"/>
    <col min="259" max="259" width="17.28515625" style="1" customWidth="1"/>
    <col min="260" max="260" width="16.42578125" style="1" customWidth="1"/>
    <col min="261" max="261" width="40.140625" style="1" customWidth="1"/>
    <col min="262" max="511" width="9.140625" style="1"/>
    <col min="512" max="512" width="5" style="1" customWidth="1"/>
    <col min="513" max="513" width="97.5703125" style="1" customWidth="1"/>
    <col min="514" max="514" width="24.140625" style="1" customWidth="1"/>
    <col min="515" max="515" width="17.28515625" style="1" customWidth="1"/>
    <col min="516" max="516" width="16.42578125" style="1" customWidth="1"/>
    <col min="517" max="517" width="40.140625" style="1" customWidth="1"/>
    <col min="518" max="767" width="9.140625" style="1"/>
    <col min="768" max="768" width="5" style="1" customWidth="1"/>
    <col min="769" max="769" width="97.5703125" style="1" customWidth="1"/>
    <col min="770" max="770" width="24.140625" style="1" customWidth="1"/>
    <col min="771" max="771" width="17.28515625" style="1" customWidth="1"/>
    <col min="772" max="772" width="16.42578125" style="1" customWidth="1"/>
    <col min="773" max="773" width="40.140625" style="1" customWidth="1"/>
    <col min="774" max="1023" width="9.140625" style="1"/>
    <col min="1024" max="1024" width="5" style="1" customWidth="1"/>
    <col min="1025" max="1025" width="97.5703125" style="1" customWidth="1"/>
    <col min="1026" max="1026" width="24.140625" style="1" customWidth="1"/>
    <col min="1027" max="1027" width="17.28515625" style="1" customWidth="1"/>
    <col min="1028" max="1028" width="16.42578125" style="1" customWidth="1"/>
    <col min="1029" max="1029" width="40.140625" style="1" customWidth="1"/>
    <col min="1030" max="1279" width="9.140625" style="1"/>
    <col min="1280" max="1280" width="5" style="1" customWidth="1"/>
    <col min="1281" max="1281" width="97.5703125" style="1" customWidth="1"/>
    <col min="1282" max="1282" width="24.140625" style="1" customWidth="1"/>
    <col min="1283" max="1283" width="17.28515625" style="1" customWidth="1"/>
    <col min="1284" max="1284" width="16.42578125" style="1" customWidth="1"/>
    <col min="1285" max="1285" width="40.140625" style="1" customWidth="1"/>
    <col min="1286" max="1535" width="9.140625" style="1"/>
    <col min="1536" max="1536" width="5" style="1" customWidth="1"/>
    <col min="1537" max="1537" width="97.5703125" style="1" customWidth="1"/>
    <col min="1538" max="1538" width="24.140625" style="1" customWidth="1"/>
    <col min="1539" max="1539" width="17.28515625" style="1" customWidth="1"/>
    <col min="1540" max="1540" width="16.42578125" style="1" customWidth="1"/>
    <col min="1541" max="1541" width="40.140625" style="1" customWidth="1"/>
    <col min="1542" max="1791" width="9.140625" style="1"/>
    <col min="1792" max="1792" width="5" style="1" customWidth="1"/>
    <col min="1793" max="1793" width="97.5703125" style="1" customWidth="1"/>
    <col min="1794" max="1794" width="24.140625" style="1" customWidth="1"/>
    <col min="1795" max="1795" width="17.28515625" style="1" customWidth="1"/>
    <col min="1796" max="1796" width="16.42578125" style="1" customWidth="1"/>
    <col min="1797" max="1797" width="40.140625" style="1" customWidth="1"/>
    <col min="1798" max="2047" width="9.140625" style="1"/>
    <col min="2048" max="2048" width="5" style="1" customWidth="1"/>
    <col min="2049" max="2049" width="97.5703125" style="1" customWidth="1"/>
    <col min="2050" max="2050" width="24.140625" style="1" customWidth="1"/>
    <col min="2051" max="2051" width="17.28515625" style="1" customWidth="1"/>
    <col min="2052" max="2052" width="16.42578125" style="1" customWidth="1"/>
    <col min="2053" max="2053" width="40.140625" style="1" customWidth="1"/>
    <col min="2054" max="2303" width="9.140625" style="1"/>
    <col min="2304" max="2304" width="5" style="1" customWidth="1"/>
    <col min="2305" max="2305" width="97.5703125" style="1" customWidth="1"/>
    <col min="2306" max="2306" width="24.140625" style="1" customWidth="1"/>
    <col min="2307" max="2307" width="17.28515625" style="1" customWidth="1"/>
    <col min="2308" max="2308" width="16.42578125" style="1" customWidth="1"/>
    <col min="2309" max="2309" width="40.140625" style="1" customWidth="1"/>
    <col min="2310" max="2559" width="9.140625" style="1"/>
    <col min="2560" max="2560" width="5" style="1" customWidth="1"/>
    <col min="2561" max="2561" width="97.5703125" style="1" customWidth="1"/>
    <col min="2562" max="2562" width="24.140625" style="1" customWidth="1"/>
    <col min="2563" max="2563" width="17.28515625" style="1" customWidth="1"/>
    <col min="2564" max="2564" width="16.42578125" style="1" customWidth="1"/>
    <col min="2565" max="2565" width="40.140625" style="1" customWidth="1"/>
    <col min="2566" max="2815" width="9.140625" style="1"/>
    <col min="2816" max="2816" width="5" style="1" customWidth="1"/>
    <col min="2817" max="2817" width="97.5703125" style="1" customWidth="1"/>
    <col min="2818" max="2818" width="24.140625" style="1" customWidth="1"/>
    <col min="2819" max="2819" width="17.28515625" style="1" customWidth="1"/>
    <col min="2820" max="2820" width="16.42578125" style="1" customWidth="1"/>
    <col min="2821" max="2821" width="40.140625" style="1" customWidth="1"/>
    <col min="2822" max="3071" width="9.140625" style="1"/>
    <col min="3072" max="3072" width="5" style="1" customWidth="1"/>
    <col min="3073" max="3073" width="97.5703125" style="1" customWidth="1"/>
    <col min="3074" max="3074" width="24.140625" style="1" customWidth="1"/>
    <col min="3075" max="3075" width="17.28515625" style="1" customWidth="1"/>
    <col min="3076" max="3076" width="16.42578125" style="1" customWidth="1"/>
    <col min="3077" max="3077" width="40.140625" style="1" customWidth="1"/>
    <col min="3078" max="3327" width="9.140625" style="1"/>
    <col min="3328" max="3328" width="5" style="1" customWidth="1"/>
    <col min="3329" max="3329" width="97.5703125" style="1" customWidth="1"/>
    <col min="3330" max="3330" width="24.140625" style="1" customWidth="1"/>
    <col min="3331" max="3331" width="17.28515625" style="1" customWidth="1"/>
    <col min="3332" max="3332" width="16.42578125" style="1" customWidth="1"/>
    <col min="3333" max="3333" width="40.140625" style="1" customWidth="1"/>
    <col min="3334" max="3583" width="9.140625" style="1"/>
    <col min="3584" max="3584" width="5" style="1" customWidth="1"/>
    <col min="3585" max="3585" width="97.5703125" style="1" customWidth="1"/>
    <col min="3586" max="3586" width="24.140625" style="1" customWidth="1"/>
    <col min="3587" max="3587" width="17.28515625" style="1" customWidth="1"/>
    <col min="3588" max="3588" width="16.42578125" style="1" customWidth="1"/>
    <col min="3589" max="3589" width="40.140625" style="1" customWidth="1"/>
    <col min="3590" max="3839" width="9.140625" style="1"/>
    <col min="3840" max="3840" width="5" style="1" customWidth="1"/>
    <col min="3841" max="3841" width="97.5703125" style="1" customWidth="1"/>
    <col min="3842" max="3842" width="24.140625" style="1" customWidth="1"/>
    <col min="3843" max="3843" width="17.28515625" style="1" customWidth="1"/>
    <col min="3844" max="3844" width="16.42578125" style="1" customWidth="1"/>
    <col min="3845" max="3845" width="40.140625" style="1" customWidth="1"/>
    <col min="3846" max="4095" width="9.140625" style="1"/>
    <col min="4096" max="4096" width="5" style="1" customWidth="1"/>
    <col min="4097" max="4097" width="97.5703125" style="1" customWidth="1"/>
    <col min="4098" max="4098" width="24.140625" style="1" customWidth="1"/>
    <col min="4099" max="4099" width="17.28515625" style="1" customWidth="1"/>
    <col min="4100" max="4100" width="16.42578125" style="1" customWidth="1"/>
    <col min="4101" max="4101" width="40.140625" style="1" customWidth="1"/>
    <col min="4102" max="4351" width="9.140625" style="1"/>
    <col min="4352" max="4352" width="5" style="1" customWidth="1"/>
    <col min="4353" max="4353" width="97.5703125" style="1" customWidth="1"/>
    <col min="4354" max="4354" width="24.140625" style="1" customWidth="1"/>
    <col min="4355" max="4355" width="17.28515625" style="1" customWidth="1"/>
    <col min="4356" max="4356" width="16.42578125" style="1" customWidth="1"/>
    <col min="4357" max="4357" width="40.140625" style="1" customWidth="1"/>
    <col min="4358" max="4607" width="9.140625" style="1"/>
    <col min="4608" max="4608" width="5" style="1" customWidth="1"/>
    <col min="4609" max="4609" width="97.5703125" style="1" customWidth="1"/>
    <col min="4610" max="4610" width="24.140625" style="1" customWidth="1"/>
    <col min="4611" max="4611" width="17.28515625" style="1" customWidth="1"/>
    <col min="4612" max="4612" width="16.42578125" style="1" customWidth="1"/>
    <col min="4613" max="4613" width="40.140625" style="1" customWidth="1"/>
    <col min="4614" max="4863" width="9.140625" style="1"/>
    <col min="4864" max="4864" width="5" style="1" customWidth="1"/>
    <col min="4865" max="4865" width="97.5703125" style="1" customWidth="1"/>
    <col min="4866" max="4866" width="24.140625" style="1" customWidth="1"/>
    <col min="4867" max="4867" width="17.28515625" style="1" customWidth="1"/>
    <col min="4868" max="4868" width="16.42578125" style="1" customWidth="1"/>
    <col min="4869" max="4869" width="40.140625" style="1" customWidth="1"/>
    <col min="4870" max="5119" width="9.140625" style="1"/>
    <col min="5120" max="5120" width="5" style="1" customWidth="1"/>
    <col min="5121" max="5121" width="97.5703125" style="1" customWidth="1"/>
    <col min="5122" max="5122" width="24.140625" style="1" customWidth="1"/>
    <col min="5123" max="5123" width="17.28515625" style="1" customWidth="1"/>
    <col min="5124" max="5124" width="16.42578125" style="1" customWidth="1"/>
    <col min="5125" max="5125" width="40.140625" style="1" customWidth="1"/>
    <col min="5126" max="5375" width="9.140625" style="1"/>
    <col min="5376" max="5376" width="5" style="1" customWidth="1"/>
    <col min="5377" max="5377" width="97.5703125" style="1" customWidth="1"/>
    <col min="5378" max="5378" width="24.140625" style="1" customWidth="1"/>
    <col min="5379" max="5379" width="17.28515625" style="1" customWidth="1"/>
    <col min="5380" max="5380" width="16.42578125" style="1" customWidth="1"/>
    <col min="5381" max="5381" width="40.140625" style="1" customWidth="1"/>
    <col min="5382" max="5631" width="9.140625" style="1"/>
    <col min="5632" max="5632" width="5" style="1" customWidth="1"/>
    <col min="5633" max="5633" width="97.5703125" style="1" customWidth="1"/>
    <col min="5634" max="5634" width="24.140625" style="1" customWidth="1"/>
    <col min="5635" max="5635" width="17.28515625" style="1" customWidth="1"/>
    <col min="5636" max="5636" width="16.42578125" style="1" customWidth="1"/>
    <col min="5637" max="5637" width="40.140625" style="1" customWidth="1"/>
    <col min="5638" max="5887" width="9.140625" style="1"/>
    <col min="5888" max="5888" width="5" style="1" customWidth="1"/>
    <col min="5889" max="5889" width="97.5703125" style="1" customWidth="1"/>
    <col min="5890" max="5890" width="24.140625" style="1" customWidth="1"/>
    <col min="5891" max="5891" width="17.28515625" style="1" customWidth="1"/>
    <col min="5892" max="5892" width="16.42578125" style="1" customWidth="1"/>
    <col min="5893" max="5893" width="40.140625" style="1" customWidth="1"/>
    <col min="5894" max="6143" width="9.140625" style="1"/>
    <col min="6144" max="6144" width="5" style="1" customWidth="1"/>
    <col min="6145" max="6145" width="97.5703125" style="1" customWidth="1"/>
    <col min="6146" max="6146" width="24.140625" style="1" customWidth="1"/>
    <col min="6147" max="6147" width="17.28515625" style="1" customWidth="1"/>
    <col min="6148" max="6148" width="16.42578125" style="1" customWidth="1"/>
    <col min="6149" max="6149" width="40.140625" style="1" customWidth="1"/>
    <col min="6150" max="6399" width="9.140625" style="1"/>
    <col min="6400" max="6400" width="5" style="1" customWidth="1"/>
    <col min="6401" max="6401" width="97.5703125" style="1" customWidth="1"/>
    <col min="6402" max="6402" width="24.140625" style="1" customWidth="1"/>
    <col min="6403" max="6403" width="17.28515625" style="1" customWidth="1"/>
    <col min="6404" max="6404" width="16.42578125" style="1" customWidth="1"/>
    <col min="6405" max="6405" width="40.140625" style="1" customWidth="1"/>
    <col min="6406" max="6655" width="9.140625" style="1"/>
    <col min="6656" max="6656" width="5" style="1" customWidth="1"/>
    <col min="6657" max="6657" width="97.5703125" style="1" customWidth="1"/>
    <col min="6658" max="6658" width="24.140625" style="1" customWidth="1"/>
    <col min="6659" max="6659" width="17.28515625" style="1" customWidth="1"/>
    <col min="6660" max="6660" width="16.42578125" style="1" customWidth="1"/>
    <col min="6661" max="6661" width="40.140625" style="1" customWidth="1"/>
    <col min="6662" max="6911" width="9.140625" style="1"/>
    <col min="6912" max="6912" width="5" style="1" customWidth="1"/>
    <col min="6913" max="6913" width="97.5703125" style="1" customWidth="1"/>
    <col min="6914" max="6914" width="24.140625" style="1" customWidth="1"/>
    <col min="6915" max="6915" width="17.28515625" style="1" customWidth="1"/>
    <col min="6916" max="6916" width="16.42578125" style="1" customWidth="1"/>
    <col min="6917" max="6917" width="40.140625" style="1" customWidth="1"/>
    <col min="6918" max="7167" width="9.140625" style="1"/>
    <col min="7168" max="7168" width="5" style="1" customWidth="1"/>
    <col min="7169" max="7169" width="97.5703125" style="1" customWidth="1"/>
    <col min="7170" max="7170" width="24.140625" style="1" customWidth="1"/>
    <col min="7171" max="7171" width="17.28515625" style="1" customWidth="1"/>
    <col min="7172" max="7172" width="16.42578125" style="1" customWidth="1"/>
    <col min="7173" max="7173" width="40.140625" style="1" customWidth="1"/>
    <col min="7174" max="7423" width="9.140625" style="1"/>
    <col min="7424" max="7424" width="5" style="1" customWidth="1"/>
    <col min="7425" max="7425" width="97.5703125" style="1" customWidth="1"/>
    <col min="7426" max="7426" width="24.140625" style="1" customWidth="1"/>
    <col min="7427" max="7427" width="17.28515625" style="1" customWidth="1"/>
    <col min="7428" max="7428" width="16.42578125" style="1" customWidth="1"/>
    <col min="7429" max="7429" width="40.140625" style="1" customWidth="1"/>
    <col min="7430" max="7679" width="9.140625" style="1"/>
    <col min="7680" max="7680" width="5" style="1" customWidth="1"/>
    <col min="7681" max="7681" width="97.5703125" style="1" customWidth="1"/>
    <col min="7682" max="7682" width="24.140625" style="1" customWidth="1"/>
    <col min="7683" max="7683" width="17.28515625" style="1" customWidth="1"/>
    <col min="7684" max="7684" width="16.42578125" style="1" customWidth="1"/>
    <col min="7685" max="7685" width="40.140625" style="1" customWidth="1"/>
    <col min="7686" max="7935" width="9.140625" style="1"/>
    <col min="7936" max="7936" width="5" style="1" customWidth="1"/>
    <col min="7937" max="7937" width="97.5703125" style="1" customWidth="1"/>
    <col min="7938" max="7938" width="24.140625" style="1" customWidth="1"/>
    <col min="7939" max="7939" width="17.28515625" style="1" customWidth="1"/>
    <col min="7940" max="7940" width="16.42578125" style="1" customWidth="1"/>
    <col min="7941" max="7941" width="40.140625" style="1" customWidth="1"/>
    <col min="7942" max="8191" width="9.140625" style="1"/>
    <col min="8192" max="8192" width="5" style="1" customWidth="1"/>
    <col min="8193" max="8193" width="97.5703125" style="1" customWidth="1"/>
    <col min="8194" max="8194" width="24.140625" style="1" customWidth="1"/>
    <col min="8195" max="8195" width="17.28515625" style="1" customWidth="1"/>
    <col min="8196" max="8196" width="16.42578125" style="1" customWidth="1"/>
    <col min="8197" max="8197" width="40.140625" style="1" customWidth="1"/>
    <col min="8198" max="8447" width="9.140625" style="1"/>
    <col min="8448" max="8448" width="5" style="1" customWidth="1"/>
    <col min="8449" max="8449" width="97.5703125" style="1" customWidth="1"/>
    <col min="8450" max="8450" width="24.140625" style="1" customWidth="1"/>
    <col min="8451" max="8451" width="17.28515625" style="1" customWidth="1"/>
    <col min="8452" max="8452" width="16.42578125" style="1" customWidth="1"/>
    <col min="8453" max="8453" width="40.140625" style="1" customWidth="1"/>
    <col min="8454" max="8703" width="9.140625" style="1"/>
    <col min="8704" max="8704" width="5" style="1" customWidth="1"/>
    <col min="8705" max="8705" width="97.5703125" style="1" customWidth="1"/>
    <col min="8706" max="8706" width="24.140625" style="1" customWidth="1"/>
    <col min="8707" max="8707" width="17.28515625" style="1" customWidth="1"/>
    <col min="8708" max="8708" width="16.42578125" style="1" customWidth="1"/>
    <col min="8709" max="8709" width="40.140625" style="1" customWidth="1"/>
    <col min="8710" max="8959" width="9.140625" style="1"/>
    <col min="8960" max="8960" width="5" style="1" customWidth="1"/>
    <col min="8961" max="8961" width="97.5703125" style="1" customWidth="1"/>
    <col min="8962" max="8962" width="24.140625" style="1" customWidth="1"/>
    <col min="8963" max="8963" width="17.28515625" style="1" customWidth="1"/>
    <col min="8964" max="8964" width="16.42578125" style="1" customWidth="1"/>
    <col min="8965" max="8965" width="40.140625" style="1" customWidth="1"/>
    <col min="8966" max="9215" width="9.140625" style="1"/>
    <col min="9216" max="9216" width="5" style="1" customWidth="1"/>
    <col min="9217" max="9217" width="97.5703125" style="1" customWidth="1"/>
    <col min="9218" max="9218" width="24.140625" style="1" customWidth="1"/>
    <col min="9219" max="9219" width="17.28515625" style="1" customWidth="1"/>
    <col min="9220" max="9220" width="16.42578125" style="1" customWidth="1"/>
    <col min="9221" max="9221" width="40.140625" style="1" customWidth="1"/>
    <col min="9222" max="9471" width="9.140625" style="1"/>
    <col min="9472" max="9472" width="5" style="1" customWidth="1"/>
    <col min="9473" max="9473" width="97.5703125" style="1" customWidth="1"/>
    <col min="9474" max="9474" width="24.140625" style="1" customWidth="1"/>
    <col min="9475" max="9475" width="17.28515625" style="1" customWidth="1"/>
    <col min="9476" max="9476" width="16.42578125" style="1" customWidth="1"/>
    <col min="9477" max="9477" width="40.140625" style="1" customWidth="1"/>
    <col min="9478" max="9727" width="9.140625" style="1"/>
    <col min="9728" max="9728" width="5" style="1" customWidth="1"/>
    <col min="9729" max="9729" width="97.5703125" style="1" customWidth="1"/>
    <col min="9730" max="9730" width="24.140625" style="1" customWidth="1"/>
    <col min="9731" max="9731" width="17.28515625" style="1" customWidth="1"/>
    <col min="9732" max="9732" width="16.42578125" style="1" customWidth="1"/>
    <col min="9733" max="9733" width="40.140625" style="1" customWidth="1"/>
    <col min="9734" max="9983" width="9.140625" style="1"/>
    <col min="9984" max="9984" width="5" style="1" customWidth="1"/>
    <col min="9985" max="9985" width="97.5703125" style="1" customWidth="1"/>
    <col min="9986" max="9986" width="24.140625" style="1" customWidth="1"/>
    <col min="9987" max="9987" width="17.28515625" style="1" customWidth="1"/>
    <col min="9988" max="9988" width="16.42578125" style="1" customWidth="1"/>
    <col min="9989" max="9989" width="40.140625" style="1" customWidth="1"/>
    <col min="9990" max="10239" width="9.140625" style="1"/>
    <col min="10240" max="10240" width="5" style="1" customWidth="1"/>
    <col min="10241" max="10241" width="97.5703125" style="1" customWidth="1"/>
    <col min="10242" max="10242" width="24.140625" style="1" customWidth="1"/>
    <col min="10243" max="10243" width="17.28515625" style="1" customWidth="1"/>
    <col min="10244" max="10244" width="16.42578125" style="1" customWidth="1"/>
    <col min="10245" max="10245" width="40.140625" style="1" customWidth="1"/>
    <col min="10246" max="10495" width="9.140625" style="1"/>
    <col min="10496" max="10496" width="5" style="1" customWidth="1"/>
    <col min="10497" max="10497" width="97.5703125" style="1" customWidth="1"/>
    <col min="10498" max="10498" width="24.140625" style="1" customWidth="1"/>
    <col min="10499" max="10499" width="17.28515625" style="1" customWidth="1"/>
    <col min="10500" max="10500" width="16.42578125" style="1" customWidth="1"/>
    <col min="10501" max="10501" width="40.140625" style="1" customWidth="1"/>
    <col min="10502" max="10751" width="9.140625" style="1"/>
    <col min="10752" max="10752" width="5" style="1" customWidth="1"/>
    <col min="10753" max="10753" width="97.5703125" style="1" customWidth="1"/>
    <col min="10754" max="10754" width="24.140625" style="1" customWidth="1"/>
    <col min="10755" max="10755" width="17.28515625" style="1" customWidth="1"/>
    <col min="10756" max="10756" width="16.42578125" style="1" customWidth="1"/>
    <col min="10757" max="10757" width="40.140625" style="1" customWidth="1"/>
    <col min="10758" max="11007" width="9.140625" style="1"/>
    <col min="11008" max="11008" width="5" style="1" customWidth="1"/>
    <col min="11009" max="11009" width="97.5703125" style="1" customWidth="1"/>
    <col min="11010" max="11010" width="24.140625" style="1" customWidth="1"/>
    <col min="11011" max="11011" width="17.28515625" style="1" customWidth="1"/>
    <col min="11012" max="11012" width="16.42578125" style="1" customWidth="1"/>
    <col min="11013" max="11013" width="40.140625" style="1" customWidth="1"/>
    <col min="11014" max="11263" width="9.140625" style="1"/>
    <col min="11264" max="11264" width="5" style="1" customWidth="1"/>
    <col min="11265" max="11265" width="97.5703125" style="1" customWidth="1"/>
    <col min="11266" max="11266" width="24.140625" style="1" customWidth="1"/>
    <col min="11267" max="11267" width="17.28515625" style="1" customWidth="1"/>
    <col min="11268" max="11268" width="16.42578125" style="1" customWidth="1"/>
    <col min="11269" max="11269" width="40.140625" style="1" customWidth="1"/>
    <col min="11270" max="11519" width="9.140625" style="1"/>
    <col min="11520" max="11520" width="5" style="1" customWidth="1"/>
    <col min="11521" max="11521" width="97.5703125" style="1" customWidth="1"/>
    <col min="11522" max="11522" width="24.140625" style="1" customWidth="1"/>
    <col min="11523" max="11523" width="17.28515625" style="1" customWidth="1"/>
    <col min="11524" max="11524" width="16.42578125" style="1" customWidth="1"/>
    <col min="11525" max="11525" width="40.140625" style="1" customWidth="1"/>
    <col min="11526" max="11775" width="9.140625" style="1"/>
    <col min="11776" max="11776" width="5" style="1" customWidth="1"/>
    <col min="11777" max="11777" width="97.5703125" style="1" customWidth="1"/>
    <col min="11778" max="11778" width="24.140625" style="1" customWidth="1"/>
    <col min="11779" max="11779" width="17.28515625" style="1" customWidth="1"/>
    <col min="11780" max="11780" width="16.42578125" style="1" customWidth="1"/>
    <col min="11781" max="11781" width="40.140625" style="1" customWidth="1"/>
    <col min="11782" max="12031" width="9.140625" style="1"/>
    <col min="12032" max="12032" width="5" style="1" customWidth="1"/>
    <col min="12033" max="12033" width="97.5703125" style="1" customWidth="1"/>
    <col min="12034" max="12034" width="24.140625" style="1" customWidth="1"/>
    <col min="12035" max="12035" width="17.28515625" style="1" customWidth="1"/>
    <col min="12036" max="12036" width="16.42578125" style="1" customWidth="1"/>
    <col min="12037" max="12037" width="40.140625" style="1" customWidth="1"/>
    <col min="12038" max="12287" width="9.140625" style="1"/>
    <col min="12288" max="12288" width="5" style="1" customWidth="1"/>
    <col min="12289" max="12289" width="97.5703125" style="1" customWidth="1"/>
    <col min="12290" max="12290" width="24.140625" style="1" customWidth="1"/>
    <col min="12291" max="12291" width="17.28515625" style="1" customWidth="1"/>
    <col min="12292" max="12292" width="16.42578125" style="1" customWidth="1"/>
    <col min="12293" max="12293" width="40.140625" style="1" customWidth="1"/>
    <col min="12294" max="12543" width="9.140625" style="1"/>
    <col min="12544" max="12544" width="5" style="1" customWidth="1"/>
    <col min="12545" max="12545" width="97.5703125" style="1" customWidth="1"/>
    <col min="12546" max="12546" width="24.140625" style="1" customWidth="1"/>
    <col min="12547" max="12547" width="17.28515625" style="1" customWidth="1"/>
    <col min="12548" max="12548" width="16.42578125" style="1" customWidth="1"/>
    <col min="12549" max="12549" width="40.140625" style="1" customWidth="1"/>
    <col min="12550" max="12799" width="9.140625" style="1"/>
    <col min="12800" max="12800" width="5" style="1" customWidth="1"/>
    <col min="12801" max="12801" width="97.5703125" style="1" customWidth="1"/>
    <col min="12802" max="12802" width="24.140625" style="1" customWidth="1"/>
    <col min="12803" max="12803" width="17.28515625" style="1" customWidth="1"/>
    <col min="12804" max="12804" width="16.42578125" style="1" customWidth="1"/>
    <col min="12805" max="12805" width="40.140625" style="1" customWidth="1"/>
    <col min="12806" max="13055" width="9.140625" style="1"/>
    <col min="13056" max="13056" width="5" style="1" customWidth="1"/>
    <col min="13057" max="13057" width="97.5703125" style="1" customWidth="1"/>
    <col min="13058" max="13058" width="24.140625" style="1" customWidth="1"/>
    <col min="13059" max="13059" width="17.28515625" style="1" customWidth="1"/>
    <col min="13060" max="13060" width="16.42578125" style="1" customWidth="1"/>
    <col min="13061" max="13061" width="40.140625" style="1" customWidth="1"/>
    <col min="13062" max="13311" width="9.140625" style="1"/>
    <col min="13312" max="13312" width="5" style="1" customWidth="1"/>
    <col min="13313" max="13313" width="97.5703125" style="1" customWidth="1"/>
    <col min="13314" max="13314" width="24.140625" style="1" customWidth="1"/>
    <col min="13315" max="13315" width="17.28515625" style="1" customWidth="1"/>
    <col min="13316" max="13316" width="16.42578125" style="1" customWidth="1"/>
    <col min="13317" max="13317" width="40.140625" style="1" customWidth="1"/>
    <col min="13318" max="13567" width="9.140625" style="1"/>
    <col min="13568" max="13568" width="5" style="1" customWidth="1"/>
    <col min="13569" max="13569" width="97.5703125" style="1" customWidth="1"/>
    <col min="13570" max="13570" width="24.140625" style="1" customWidth="1"/>
    <col min="13571" max="13571" width="17.28515625" style="1" customWidth="1"/>
    <col min="13572" max="13572" width="16.42578125" style="1" customWidth="1"/>
    <col min="13573" max="13573" width="40.140625" style="1" customWidth="1"/>
    <col min="13574" max="13823" width="9.140625" style="1"/>
    <col min="13824" max="13824" width="5" style="1" customWidth="1"/>
    <col min="13825" max="13825" width="97.5703125" style="1" customWidth="1"/>
    <col min="13826" max="13826" width="24.140625" style="1" customWidth="1"/>
    <col min="13827" max="13827" width="17.28515625" style="1" customWidth="1"/>
    <col min="13828" max="13828" width="16.42578125" style="1" customWidth="1"/>
    <col min="13829" max="13829" width="40.140625" style="1" customWidth="1"/>
    <col min="13830" max="14079" width="9.140625" style="1"/>
    <col min="14080" max="14080" width="5" style="1" customWidth="1"/>
    <col min="14081" max="14081" width="97.5703125" style="1" customWidth="1"/>
    <col min="14082" max="14082" width="24.140625" style="1" customWidth="1"/>
    <col min="14083" max="14083" width="17.28515625" style="1" customWidth="1"/>
    <col min="14084" max="14084" width="16.42578125" style="1" customWidth="1"/>
    <col min="14085" max="14085" width="40.140625" style="1" customWidth="1"/>
    <col min="14086" max="14335" width="9.140625" style="1"/>
    <col min="14336" max="14336" width="5" style="1" customWidth="1"/>
    <col min="14337" max="14337" width="97.5703125" style="1" customWidth="1"/>
    <col min="14338" max="14338" width="24.140625" style="1" customWidth="1"/>
    <col min="14339" max="14339" width="17.28515625" style="1" customWidth="1"/>
    <col min="14340" max="14340" width="16.42578125" style="1" customWidth="1"/>
    <col min="14341" max="14341" width="40.140625" style="1" customWidth="1"/>
    <col min="14342" max="14591" width="9.140625" style="1"/>
    <col min="14592" max="14592" width="5" style="1" customWidth="1"/>
    <col min="14593" max="14593" width="97.5703125" style="1" customWidth="1"/>
    <col min="14594" max="14594" width="24.140625" style="1" customWidth="1"/>
    <col min="14595" max="14595" width="17.28515625" style="1" customWidth="1"/>
    <col min="14596" max="14596" width="16.42578125" style="1" customWidth="1"/>
    <col min="14597" max="14597" width="40.140625" style="1" customWidth="1"/>
    <col min="14598" max="14847" width="9.140625" style="1"/>
    <col min="14848" max="14848" width="5" style="1" customWidth="1"/>
    <col min="14849" max="14849" width="97.5703125" style="1" customWidth="1"/>
    <col min="14850" max="14850" width="24.140625" style="1" customWidth="1"/>
    <col min="14851" max="14851" width="17.28515625" style="1" customWidth="1"/>
    <col min="14852" max="14852" width="16.42578125" style="1" customWidth="1"/>
    <col min="14853" max="14853" width="40.140625" style="1" customWidth="1"/>
    <col min="14854" max="15103" width="9.140625" style="1"/>
    <col min="15104" max="15104" width="5" style="1" customWidth="1"/>
    <col min="15105" max="15105" width="97.5703125" style="1" customWidth="1"/>
    <col min="15106" max="15106" width="24.140625" style="1" customWidth="1"/>
    <col min="15107" max="15107" width="17.28515625" style="1" customWidth="1"/>
    <col min="15108" max="15108" width="16.42578125" style="1" customWidth="1"/>
    <col min="15109" max="15109" width="40.140625" style="1" customWidth="1"/>
    <col min="15110" max="15359" width="9.140625" style="1"/>
    <col min="15360" max="15360" width="5" style="1" customWidth="1"/>
    <col min="15361" max="15361" width="97.5703125" style="1" customWidth="1"/>
    <col min="15362" max="15362" width="24.140625" style="1" customWidth="1"/>
    <col min="15363" max="15363" width="17.28515625" style="1" customWidth="1"/>
    <col min="15364" max="15364" width="16.42578125" style="1" customWidth="1"/>
    <col min="15365" max="15365" width="40.140625" style="1" customWidth="1"/>
    <col min="15366" max="15615" width="9.140625" style="1"/>
    <col min="15616" max="15616" width="5" style="1" customWidth="1"/>
    <col min="15617" max="15617" width="97.5703125" style="1" customWidth="1"/>
    <col min="15618" max="15618" width="24.140625" style="1" customWidth="1"/>
    <col min="15619" max="15619" width="17.28515625" style="1" customWidth="1"/>
    <col min="15620" max="15620" width="16.42578125" style="1" customWidth="1"/>
    <col min="15621" max="15621" width="40.140625" style="1" customWidth="1"/>
    <col min="15622" max="15871" width="9.140625" style="1"/>
    <col min="15872" max="15872" width="5" style="1" customWidth="1"/>
    <col min="15873" max="15873" width="97.5703125" style="1" customWidth="1"/>
    <col min="15874" max="15874" width="24.140625" style="1" customWidth="1"/>
    <col min="15875" max="15875" width="17.28515625" style="1" customWidth="1"/>
    <col min="15876" max="15876" width="16.42578125" style="1" customWidth="1"/>
    <col min="15877" max="15877" width="40.140625" style="1" customWidth="1"/>
    <col min="15878" max="16127" width="9.140625" style="1"/>
    <col min="16128" max="16128" width="5" style="1" customWidth="1"/>
    <col min="16129" max="16129" width="97.5703125" style="1" customWidth="1"/>
    <col min="16130" max="16130" width="24.140625" style="1" customWidth="1"/>
    <col min="16131" max="16131" width="17.28515625" style="1" customWidth="1"/>
    <col min="16132" max="16132" width="16.42578125" style="1" customWidth="1"/>
    <col min="16133" max="16133" width="40.140625" style="1" customWidth="1"/>
    <col min="16134" max="16384" width="9.140625" style="1"/>
  </cols>
  <sheetData>
    <row r="1" spans="1:7">
      <c r="D1" s="284"/>
    </row>
    <row r="2" spans="1:7" ht="25.9" customHeight="1">
      <c r="A2" s="4"/>
      <c r="B2" s="485" t="s">
        <v>6</v>
      </c>
      <c r="C2" s="485"/>
      <c r="D2" s="486"/>
      <c r="E2" s="6"/>
      <c r="F2" s="6"/>
      <c r="G2" s="6"/>
    </row>
    <row r="3" spans="1:7" ht="36.6" customHeight="1">
      <c r="A3" s="4"/>
      <c r="B3" s="487" t="s">
        <v>296</v>
      </c>
      <c r="C3" s="487"/>
      <c r="D3" s="488"/>
      <c r="E3" s="6"/>
      <c r="F3" s="6"/>
      <c r="G3" s="6"/>
    </row>
    <row r="4" spans="1:7" ht="38.25">
      <c r="A4" s="271"/>
      <c r="B4" s="28" t="s">
        <v>7</v>
      </c>
      <c r="C4" s="28" t="s">
        <v>8</v>
      </c>
      <c r="D4" s="28" t="s">
        <v>9</v>
      </c>
      <c r="E4" s="6"/>
      <c r="F4" s="6"/>
      <c r="G4" s="6"/>
    </row>
    <row r="5" spans="1:7" ht="24" customHeight="1">
      <c r="A5" s="431"/>
      <c r="B5" s="749" t="s">
        <v>297</v>
      </c>
      <c r="C5" s="492"/>
      <c r="D5" s="492"/>
      <c r="E5"/>
      <c r="F5"/>
      <c r="G5"/>
    </row>
    <row r="6" spans="1:7" ht="40.5" customHeight="1">
      <c r="A6" s="418">
        <v>1</v>
      </c>
      <c r="B6" s="461" t="s">
        <v>303</v>
      </c>
      <c r="C6" s="426" t="s">
        <v>10</v>
      </c>
      <c r="D6" s="449"/>
      <c r="E6"/>
      <c r="F6"/>
      <c r="G6"/>
    </row>
    <row r="7" spans="1:7" ht="41.25" customHeight="1">
      <c r="A7" s="418">
        <v>2</v>
      </c>
      <c r="B7" s="422" t="s">
        <v>482</v>
      </c>
      <c r="C7" s="426" t="s">
        <v>462</v>
      </c>
      <c r="D7" s="449"/>
      <c r="E7"/>
      <c r="F7"/>
      <c r="G7"/>
    </row>
    <row r="8" spans="1:7" ht="48" customHeight="1">
      <c r="A8" s="418">
        <v>3</v>
      </c>
      <c r="B8" s="438" t="s">
        <v>489</v>
      </c>
      <c r="C8" s="426" t="s">
        <v>251</v>
      </c>
      <c r="D8" s="449"/>
      <c r="E8"/>
      <c r="F8"/>
      <c r="G8"/>
    </row>
    <row r="9" spans="1:7" ht="27.75" customHeight="1">
      <c r="A9" s="431"/>
      <c r="B9" s="750" t="s">
        <v>298</v>
      </c>
      <c r="C9" s="499"/>
      <c r="D9" s="499"/>
      <c r="E9"/>
      <c r="F9"/>
      <c r="G9"/>
    </row>
    <row r="10" spans="1:7" ht="39" customHeight="1">
      <c r="A10" s="418">
        <v>1</v>
      </c>
      <c r="B10" s="461" t="s">
        <v>303</v>
      </c>
      <c r="C10" s="426" t="s">
        <v>10</v>
      </c>
      <c r="D10" s="449"/>
      <c r="E10"/>
      <c r="F10"/>
      <c r="G10"/>
    </row>
    <row r="11" spans="1:7" ht="57.75" customHeight="1">
      <c r="A11" s="427" t="s">
        <v>299</v>
      </c>
      <c r="B11" s="422" t="s">
        <v>482</v>
      </c>
      <c r="C11" s="426" t="s">
        <v>462</v>
      </c>
      <c r="D11" s="449"/>
      <c r="E11"/>
      <c r="F11"/>
      <c r="G11"/>
    </row>
    <row r="12" spans="1:7" ht="38.25" customHeight="1">
      <c r="A12" s="427" t="s">
        <v>300</v>
      </c>
      <c r="B12" s="426" t="s">
        <v>490</v>
      </c>
      <c r="C12" s="426" t="s">
        <v>251</v>
      </c>
      <c r="D12" s="449"/>
      <c r="E12"/>
      <c r="F12"/>
      <c r="G12"/>
    </row>
    <row r="13" spans="1:7" ht="50.25" customHeight="1">
      <c r="A13" s="427" t="s">
        <v>301</v>
      </c>
      <c r="B13" s="438" t="s">
        <v>489</v>
      </c>
      <c r="C13" s="426" t="s">
        <v>251</v>
      </c>
      <c r="D13" s="449"/>
      <c r="E13"/>
      <c r="F13"/>
      <c r="G13"/>
    </row>
    <row r="14" spans="1:7" ht="26.25" customHeight="1">
      <c r="A14" s="431"/>
      <c r="B14" s="750" t="s">
        <v>302</v>
      </c>
      <c r="C14" s="499"/>
      <c r="D14" s="499"/>
      <c r="E14"/>
      <c r="F14"/>
      <c r="G14"/>
    </row>
    <row r="15" spans="1:7" ht="52.5" customHeight="1">
      <c r="A15" s="427" t="s">
        <v>115</v>
      </c>
      <c r="B15" s="462" t="s">
        <v>303</v>
      </c>
      <c r="C15" s="426" t="s">
        <v>10</v>
      </c>
      <c r="D15" s="449"/>
      <c r="E15"/>
      <c r="F15"/>
      <c r="G15"/>
    </row>
    <row r="16" spans="1:7" ht="43.5" customHeight="1">
      <c r="A16" s="427" t="s">
        <v>299</v>
      </c>
      <c r="B16" s="425" t="s">
        <v>491</v>
      </c>
      <c r="C16" s="426" t="s">
        <v>462</v>
      </c>
      <c r="D16" s="449"/>
      <c r="E16"/>
      <c r="F16"/>
      <c r="G16"/>
    </row>
    <row r="17" spans="1:7" ht="42" customHeight="1">
      <c r="A17" s="427" t="s">
        <v>300</v>
      </c>
      <c r="B17" s="425" t="s">
        <v>492</v>
      </c>
      <c r="C17" s="426" t="s">
        <v>462</v>
      </c>
      <c r="D17" s="449"/>
      <c r="E17"/>
      <c r="F17"/>
      <c r="G17"/>
    </row>
    <row r="18" spans="1:7" ht="33.75" customHeight="1">
      <c r="A18" s="427" t="s">
        <v>301</v>
      </c>
      <c r="B18" s="426" t="s">
        <v>493</v>
      </c>
      <c r="C18" s="426" t="s">
        <v>251</v>
      </c>
      <c r="D18" s="449"/>
      <c r="E18"/>
      <c r="F18"/>
      <c r="G18"/>
    </row>
    <row r="19" spans="1:7" ht="33.75" customHeight="1">
      <c r="A19" s="427" t="s">
        <v>41</v>
      </c>
      <c r="B19" s="426" t="s">
        <v>494</v>
      </c>
      <c r="C19" s="426" t="s">
        <v>251</v>
      </c>
      <c r="D19" s="449"/>
      <c r="E19"/>
      <c r="F19"/>
      <c r="G19"/>
    </row>
    <row r="20" spans="1:7" ht="60.75" customHeight="1">
      <c r="A20" s="427" t="s">
        <v>11</v>
      </c>
      <c r="B20" s="426" t="s">
        <v>495</v>
      </c>
      <c r="C20" s="426" t="s">
        <v>251</v>
      </c>
      <c r="D20" s="449"/>
      <c r="E20"/>
      <c r="F20"/>
      <c r="G20"/>
    </row>
    <row r="21" spans="1:7" ht="69" customHeight="1">
      <c r="A21" s="427"/>
      <c r="B21" s="428" t="s">
        <v>496</v>
      </c>
      <c r="C21" s="426" t="s">
        <v>251</v>
      </c>
      <c r="D21" s="449"/>
      <c r="E21"/>
      <c r="F21"/>
      <c r="G21"/>
    </row>
    <row r="22" spans="1:7" ht="123.75" customHeight="1">
      <c r="A22" s="427"/>
      <c r="B22" s="428" t="s">
        <v>497</v>
      </c>
      <c r="C22" s="426" t="s">
        <v>251</v>
      </c>
      <c r="D22" s="449"/>
      <c r="E22"/>
      <c r="F22"/>
      <c r="G22"/>
    </row>
    <row r="23" spans="1:7" ht="43.5" customHeight="1">
      <c r="A23" s="427" t="s">
        <v>233</v>
      </c>
      <c r="B23" s="426" t="s">
        <v>489</v>
      </c>
      <c r="C23" s="426" t="s">
        <v>251</v>
      </c>
      <c r="D23" s="449"/>
      <c r="E23"/>
      <c r="F23"/>
      <c r="G23"/>
    </row>
    <row r="24" spans="1:7" ht="133.5" customHeight="1">
      <c r="A24" s="445"/>
      <c r="B24" s="748" t="s">
        <v>304</v>
      </c>
      <c r="C24" s="748"/>
      <c r="D24" s="748"/>
      <c r="E24" s="446"/>
      <c r="F24"/>
      <c r="G24"/>
    </row>
    <row r="25" spans="1:7" ht="33" customHeight="1">
      <c r="A25" s="447"/>
      <c r="B25" s="747" t="s">
        <v>481</v>
      </c>
      <c r="C25" s="747"/>
      <c r="D25" s="747"/>
      <c r="E25"/>
      <c r="F25"/>
      <c r="G25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</sheetData>
  <mergeCells count="7">
    <mergeCell ref="B25:D25"/>
    <mergeCell ref="B24:D24"/>
    <mergeCell ref="B2:D2"/>
    <mergeCell ref="B3:D3"/>
    <mergeCell ref="B5:D5"/>
    <mergeCell ref="B9:D9"/>
    <mergeCell ref="B14:D14"/>
  </mergeCells>
  <hyperlinks>
    <hyperlink ref="B6" location="'Анкета поручителя'!A1" display="Анкета залогодателя."/>
    <hyperlink ref="B15" location="'Анкета поруч-залог ЮЛ'!A1" display="Анкета поручителя/ залогодателя"/>
    <hyperlink ref="B10" location="'Анкета поручителя'!A1" display="Анкета залогодателя."/>
    <hyperlink ref="B7" location="'Согласие ФЛ'!A1" display="Согласие руководителя заявителя* на получение банком в Национальном банке Республики Беларусь кредитного отчета, а также сведений об организации / о физическом лице из информационных ресурсов, находящихся в ведении Министерства внутренних дел Республики Б"/>
    <hyperlink ref="B11" location="'Согласие ФЛ'!A1" display="Согласие руководителя заявителя* на получение банком в Национальном банке Республики Беларусь кредитного отчета, а также сведений об организации / о физическом лице из информационных ресурсов, находящихся в ведении Министерства внутренних дел Республики Б"/>
    <hyperlink ref="B16" location="'Приложение 1 - Список док ЮЛ'!A1" display="'Приложение 1 - Список док ЮЛ'!A1"/>
    <hyperlink ref="B17" location="'Согласие ФЛ'!A1" display="Согласие руководителя залогодателя на получение банком в Национальном банке Республики Беларусь кредитного отчета, а также сведений о физическом лице из информационных ресурсов, находящихся в ведении Министерства внутренних дел Республики Беларусь и Нацио"/>
  </hyperlinks>
  <pageMargins left="0.39370078740157483" right="0.39370078740157483" top="0.39370078740157483" bottom="0.39370078740157483" header="0.31496062992125984" footer="0.31496062992125984"/>
  <pageSetup paperSize="9" scale="63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76200</xdr:rowOff>
                  </from>
                  <to>
                    <xdr:col>3</xdr:col>
                    <xdr:colOff>381000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9525</xdr:rowOff>
                  </from>
                  <to>
                    <xdr:col>3</xdr:col>
                    <xdr:colOff>361950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85725</xdr:rowOff>
                  </from>
                  <to>
                    <xdr:col>3</xdr:col>
                    <xdr:colOff>381000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85725</xdr:rowOff>
                  </from>
                  <to>
                    <xdr:col>3</xdr:col>
                    <xdr:colOff>381000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85725</xdr:rowOff>
                  </from>
                  <to>
                    <xdr:col>3</xdr:col>
                    <xdr:colOff>381000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76200</xdr:rowOff>
                  </from>
                  <to>
                    <xdr:col>3</xdr:col>
                    <xdr:colOff>381000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76200</xdr:rowOff>
                  </from>
                  <to>
                    <xdr:col>3</xdr:col>
                    <xdr:colOff>381000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85725</xdr:rowOff>
                  </from>
                  <to>
                    <xdr:col>3</xdr:col>
                    <xdr:colOff>381000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76200</xdr:rowOff>
                  </from>
                  <to>
                    <xdr:col>3</xdr:col>
                    <xdr:colOff>381000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85725</xdr:rowOff>
                  </from>
                  <to>
                    <xdr:col>3</xdr:col>
                    <xdr:colOff>381000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85725</xdr:rowOff>
                  </from>
                  <to>
                    <xdr:col>3</xdr:col>
                    <xdr:colOff>381000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76200</xdr:rowOff>
                  </from>
                  <to>
                    <xdr:col>3</xdr:col>
                    <xdr:colOff>381000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Check Box 22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9525</xdr:rowOff>
                  </from>
                  <to>
                    <xdr:col>3</xdr:col>
                    <xdr:colOff>361950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30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85725</xdr:rowOff>
                  </from>
                  <to>
                    <xdr:col>3</xdr:col>
                    <xdr:colOff>381000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1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85725</xdr:rowOff>
                  </from>
                  <to>
                    <xdr:col>3</xdr:col>
                    <xdr:colOff>381000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2" name="Check Box 29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85725</xdr:rowOff>
                  </from>
                  <to>
                    <xdr:col>3</xdr:col>
                    <xdr:colOff>381000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3" name="Check Box 30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4" name="Check Box 31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76200</xdr:rowOff>
                  </from>
                  <to>
                    <xdr:col>3</xdr:col>
                    <xdr:colOff>381000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4" r:id="rId35" name="Check Box 32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76200</xdr:rowOff>
                  </from>
                  <to>
                    <xdr:col>3</xdr:col>
                    <xdr:colOff>381000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5" r:id="rId36" name="Check Box 33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85725</xdr:rowOff>
                  </from>
                  <to>
                    <xdr:col>3</xdr:col>
                    <xdr:colOff>381000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6" r:id="rId37" name="Check Box 3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76200</xdr:rowOff>
                  </from>
                  <to>
                    <xdr:col>3</xdr:col>
                    <xdr:colOff>381000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7" r:id="rId38" name="Check Box 35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85725</xdr:rowOff>
                  </from>
                  <to>
                    <xdr:col>3</xdr:col>
                    <xdr:colOff>381000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8" r:id="rId39" name="Check Box 36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85725</xdr:rowOff>
                  </from>
                  <to>
                    <xdr:col>3</xdr:col>
                    <xdr:colOff>381000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9" r:id="rId40" name="Check Box 37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76200</xdr:rowOff>
                  </from>
                  <to>
                    <xdr:col>3</xdr:col>
                    <xdr:colOff>381000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0" r:id="rId41" name="Check Box 38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1" r:id="rId42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2" r:id="rId43" name="Check Box 40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3" r:id="rId44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4" r:id="rId45" name="Check Box 42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5" r:id="rId46" name="Check Box 43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9525</xdr:rowOff>
                  </from>
                  <to>
                    <xdr:col>3</xdr:col>
                    <xdr:colOff>361950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6" r:id="rId47" name="Check Box 44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9525</xdr:rowOff>
                  </from>
                  <to>
                    <xdr:col>3</xdr:col>
                    <xdr:colOff>361950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7" r:id="rId48" name="Check Box 45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85725</xdr:rowOff>
                  </from>
                  <to>
                    <xdr:col>3</xdr:col>
                    <xdr:colOff>381000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8" r:id="rId49" name="Check Box 46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85725</xdr:rowOff>
                  </from>
                  <to>
                    <xdr:col>3</xdr:col>
                    <xdr:colOff>381000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9" r:id="rId50" name="Check Box 47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85725</xdr:rowOff>
                  </from>
                  <to>
                    <xdr:col>3</xdr:col>
                    <xdr:colOff>381000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0" r:id="rId51" name="Check Box 4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85725</xdr:rowOff>
                  </from>
                  <to>
                    <xdr:col>3</xdr:col>
                    <xdr:colOff>381000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1" r:id="rId52" name="Check Box 49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76200</xdr:rowOff>
                  </from>
                  <to>
                    <xdr:col>3</xdr:col>
                    <xdr:colOff>381000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2" r:id="rId53" name="Check Box 50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76200</xdr:rowOff>
                  </from>
                  <to>
                    <xdr:col>3</xdr:col>
                    <xdr:colOff>381000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3" r:id="rId54" name="Check Box 51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85725</xdr:rowOff>
                  </from>
                  <to>
                    <xdr:col>3</xdr:col>
                    <xdr:colOff>381000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4" r:id="rId55" name="Check Box 52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76200</xdr:rowOff>
                  </from>
                  <to>
                    <xdr:col>3</xdr:col>
                    <xdr:colOff>381000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5" r:id="rId56" name="Check Box 53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85725</xdr:rowOff>
                  </from>
                  <to>
                    <xdr:col>3</xdr:col>
                    <xdr:colOff>381000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6" r:id="rId57" name="Check Box 5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85725</xdr:rowOff>
                  </from>
                  <to>
                    <xdr:col>3</xdr:col>
                    <xdr:colOff>381000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7" r:id="rId58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9525</xdr:rowOff>
                  </from>
                  <to>
                    <xdr:col>3</xdr:col>
                    <xdr:colOff>361950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2:BN139"/>
  <sheetViews>
    <sheetView showGridLines="0" view="pageBreakPreview" topLeftCell="A52" zoomScale="130" zoomScaleNormal="100" zoomScaleSheetLayoutView="130" workbookViewId="0">
      <selection activeCell="U64" sqref="U64:AB64"/>
    </sheetView>
  </sheetViews>
  <sheetFormatPr defaultColWidth="9.140625" defaultRowHeight="15" outlineLevelRow="1"/>
  <cols>
    <col min="1" max="1" width="5.7109375" style="18" customWidth="1"/>
    <col min="2" max="2" width="4.7109375" style="12" customWidth="1"/>
    <col min="3" max="3" width="3.5703125" style="12" customWidth="1"/>
    <col min="4" max="5" width="4.42578125" style="12" customWidth="1"/>
    <col min="6" max="6" width="5" style="12" customWidth="1"/>
    <col min="7" max="7" width="4.140625" style="12" customWidth="1"/>
    <col min="8" max="8" width="4.7109375" style="12" customWidth="1"/>
    <col min="9" max="9" width="5" style="12" customWidth="1"/>
    <col min="10" max="10" width="5.140625" style="12" customWidth="1"/>
    <col min="11" max="14" width="4.5703125" style="12" customWidth="1"/>
    <col min="15" max="15" width="4" style="12" customWidth="1"/>
    <col min="16" max="16" width="4.42578125" style="12" customWidth="1"/>
    <col min="17" max="17" width="4.5703125" style="12" customWidth="1"/>
    <col min="18" max="18" width="3.7109375" style="12" customWidth="1"/>
    <col min="19" max="19" width="4.7109375" style="12" customWidth="1"/>
    <col min="20" max="20" width="3.5703125" style="12" customWidth="1"/>
    <col min="21" max="21" width="3.7109375" style="12" customWidth="1"/>
    <col min="22" max="22" width="4.42578125" style="12" customWidth="1"/>
    <col min="23" max="23" width="4.5703125" style="12" customWidth="1"/>
    <col min="24" max="24" width="3.7109375" style="12" customWidth="1"/>
    <col min="25" max="25" width="4.7109375" style="12" customWidth="1"/>
    <col min="26" max="26" width="4.28515625" style="12" customWidth="1"/>
    <col min="27" max="28" width="4.140625" style="12" customWidth="1"/>
    <col min="29" max="29" width="7.28515625" style="12" customWidth="1"/>
    <col min="30" max="30" width="5.7109375" style="12" customWidth="1"/>
    <col min="31" max="31" width="5" style="12" customWidth="1"/>
    <col min="32" max="32" width="4.42578125" style="12" customWidth="1"/>
    <col min="33" max="16384" width="9.140625" style="12"/>
  </cols>
  <sheetData>
    <row r="2" spans="1:55" ht="15.75" thickBot="1"/>
    <row r="3" spans="1:55" s="14" customFormat="1" ht="16.5" customHeight="1">
      <c r="A3" s="35"/>
      <c r="B3" s="36"/>
      <c r="C3" s="36"/>
      <c r="D3" s="36"/>
      <c r="E3" s="36"/>
      <c r="F3" s="142"/>
      <c r="G3" s="142"/>
      <c r="H3" s="142"/>
      <c r="I3" s="890"/>
      <c r="J3" s="890"/>
      <c r="K3" s="890"/>
      <c r="L3" s="891" t="s">
        <v>506</v>
      </c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2"/>
      <c r="AC3" s="185" t="s">
        <v>165</v>
      </c>
      <c r="AD3" s="8"/>
      <c r="AE3" s="8"/>
      <c r="AF3" s="8"/>
      <c r="AG3" s="7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ht="24" customHeight="1">
      <c r="A4" s="37"/>
      <c r="B4" s="38"/>
      <c r="C4" s="38"/>
      <c r="D4" s="38"/>
      <c r="E4" s="38"/>
      <c r="F4" s="143"/>
      <c r="G4" s="143"/>
      <c r="H4" s="143"/>
      <c r="I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893" t="s">
        <v>118</v>
      </c>
      <c r="W4" s="893"/>
      <c r="X4" s="893"/>
      <c r="Y4" s="893"/>
      <c r="Z4" s="893"/>
      <c r="AA4" s="893"/>
      <c r="AB4" s="894"/>
      <c r="AC4" s="8"/>
      <c r="AD4" s="8"/>
      <c r="AE4" s="8"/>
      <c r="AF4" s="8"/>
      <c r="AG4" s="7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ht="29.25" customHeight="1">
      <c r="A5" s="859" t="s">
        <v>154</v>
      </c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1"/>
      <c r="AC5" s="22"/>
      <c r="AD5" s="22"/>
      <c r="AE5" s="22"/>
      <c r="AF5" s="22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30" customHeight="1">
      <c r="A6" s="39" t="s">
        <v>85</v>
      </c>
      <c r="B6" s="772" t="str">
        <f>IF(L3="Заявка юридического лица","Заявитель (полное наименование юридеского лица, УНП):","Заявитель (фамилия, имя, отчество):")</f>
        <v>Заявитель (полное наименование юридеского лица, УНП):</v>
      </c>
      <c r="C6" s="862"/>
      <c r="D6" s="862"/>
      <c r="E6" s="862"/>
      <c r="F6" s="862"/>
      <c r="G6" s="862"/>
      <c r="H6" s="862"/>
      <c r="I6" s="862"/>
      <c r="J6" s="863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  <c r="AA6" s="864"/>
      <c r="AB6" s="865"/>
      <c r="AC6" s="9"/>
      <c r="AD6" s="9"/>
      <c r="AE6" s="9"/>
      <c r="AF6" s="9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ht="18" customHeight="1">
      <c r="A7" s="885" t="s">
        <v>86</v>
      </c>
      <c r="B7" s="789" t="s">
        <v>21</v>
      </c>
      <c r="C7" s="790"/>
      <c r="D7" s="790"/>
      <c r="E7" s="790"/>
      <c r="F7" s="790"/>
      <c r="G7" s="790"/>
      <c r="H7" s="790"/>
      <c r="I7" s="790"/>
      <c r="J7" s="790"/>
      <c r="K7" s="790"/>
      <c r="L7" s="790"/>
      <c r="M7" s="790"/>
      <c r="N7" s="790"/>
      <c r="O7" s="790"/>
      <c r="P7" s="790"/>
      <c r="Q7" s="790"/>
      <c r="R7" s="790"/>
      <c r="S7" s="790"/>
      <c r="T7" s="790"/>
      <c r="U7" s="790"/>
      <c r="V7" s="790"/>
      <c r="W7" s="790"/>
      <c r="X7" s="790"/>
      <c r="Y7" s="790"/>
      <c r="Z7" s="790"/>
      <c r="AA7" s="790"/>
      <c r="AB7" s="866"/>
      <c r="AC7" s="23"/>
      <c r="AD7" s="23"/>
      <c r="AE7" s="23"/>
      <c r="AF7" s="23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ht="18" customHeight="1">
      <c r="A8" s="886"/>
      <c r="B8" s="772" t="s">
        <v>119</v>
      </c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80"/>
      <c r="AC8" s="145"/>
      <c r="AD8" s="145"/>
      <c r="AE8" s="145"/>
      <c r="AF8" s="145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ht="18" customHeight="1">
      <c r="A9" s="886"/>
      <c r="B9" s="772" t="s">
        <v>123</v>
      </c>
      <c r="C9" s="783"/>
      <c r="D9" s="783"/>
      <c r="E9" s="783"/>
      <c r="F9" s="783"/>
      <c r="G9" s="783"/>
      <c r="H9" s="783"/>
      <c r="I9" s="783"/>
      <c r="J9" s="783"/>
      <c r="K9" s="783"/>
      <c r="L9" s="783"/>
      <c r="M9" s="783"/>
      <c r="N9" s="783"/>
      <c r="O9" s="783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80"/>
      <c r="AC9" s="23"/>
      <c r="AD9" s="23"/>
      <c r="AE9" s="23"/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15.75">
      <c r="A10" s="886"/>
      <c r="B10" s="867" t="str">
        <f>IF(P8="Быстрое решение","Лимит овердрафта:","Сумма кредита:")</f>
        <v>Сумма кредита:</v>
      </c>
      <c r="C10" s="867"/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867"/>
      <c r="O10" s="867"/>
      <c r="P10" s="868"/>
      <c r="Q10" s="869"/>
      <c r="R10" s="869"/>
      <c r="S10" s="869"/>
      <c r="T10" s="869"/>
      <c r="U10" s="869"/>
      <c r="V10" s="869"/>
      <c r="W10" s="869"/>
      <c r="X10" s="869"/>
      <c r="Y10" s="869"/>
      <c r="Z10" s="869"/>
      <c r="AA10" s="869"/>
      <c r="AB10" s="870"/>
      <c r="AC10" s="138"/>
      <c r="AD10" s="137"/>
      <c r="AE10" s="10"/>
      <c r="AF10" s="10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15.75" customHeight="1">
      <c r="A11" s="886"/>
      <c r="B11" s="867" t="s">
        <v>28</v>
      </c>
      <c r="C11" s="867"/>
      <c r="D11" s="867"/>
      <c r="E11" s="867"/>
      <c r="F11" s="867"/>
      <c r="G11" s="867"/>
      <c r="H11" s="867"/>
      <c r="I11" s="867"/>
      <c r="J11" s="867"/>
      <c r="K11" s="867"/>
      <c r="L11" s="867"/>
      <c r="M11" s="867"/>
      <c r="N11" s="867"/>
      <c r="O11" s="867"/>
      <c r="P11" s="751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3"/>
      <c r="AC11" s="139"/>
      <c r="AD11" s="24"/>
      <c r="AE11" s="24"/>
      <c r="AF11" s="24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ht="15.75" customHeight="1">
      <c r="A12" s="886"/>
      <c r="B12" s="867" t="s">
        <v>134</v>
      </c>
      <c r="C12" s="867"/>
      <c r="D12" s="867"/>
      <c r="E12" s="867"/>
      <c r="F12" s="867"/>
      <c r="G12" s="867"/>
      <c r="H12" s="867"/>
      <c r="I12" s="867"/>
      <c r="J12" s="867"/>
      <c r="K12" s="867"/>
      <c r="L12" s="867"/>
      <c r="M12" s="867"/>
      <c r="N12" s="867"/>
      <c r="O12" s="867"/>
      <c r="P12" s="751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3"/>
      <c r="AC12" s="139"/>
      <c r="AD12" s="24"/>
      <c r="AE12" s="24"/>
      <c r="AF12" s="24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ht="15.75" customHeight="1">
      <c r="A13" s="886"/>
      <c r="B13" s="867" t="s">
        <v>171</v>
      </c>
      <c r="C13" s="867"/>
      <c r="D13" s="867"/>
      <c r="E13" s="867"/>
      <c r="F13" s="867"/>
      <c r="G13" s="867"/>
      <c r="H13" s="867"/>
      <c r="I13" s="867"/>
      <c r="J13" s="867"/>
      <c r="K13" s="867"/>
      <c r="L13" s="867"/>
      <c r="M13" s="867"/>
      <c r="N13" s="867"/>
      <c r="O13" s="867"/>
      <c r="P13" s="751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3"/>
      <c r="AC13" s="139"/>
      <c r="AD13" s="24"/>
      <c r="AE13" s="24"/>
      <c r="AF13" s="24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ht="15" customHeight="1">
      <c r="A14" s="886"/>
      <c r="B14" s="871" t="s">
        <v>141</v>
      </c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2"/>
      <c r="Q14" s="873"/>
      <c r="R14" s="873"/>
      <c r="S14" s="873"/>
      <c r="T14" s="873"/>
      <c r="U14" s="873"/>
      <c r="V14" s="874"/>
      <c r="W14" s="875"/>
      <c r="X14" s="876" t="s">
        <v>1</v>
      </c>
      <c r="Y14" s="764"/>
      <c r="Z14" s="764"/>
      <c r="AA14" s="764"/>
      <c r="AB14" s="765"/>
      <c r="AC14" s="138"/>
      <c r="AD14" s="25"/>
      <c r="AE14" s="25"/>
      <c r="AF14" s="25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15" customHeight="1">
      <c r="A15" s="886"/>
      <c r="B15" s="754" t="str">
        <f>IF(OR(P9="Овердрафт",P9="Возобновляемая кредитная линия"),"Срок транша (выбрать из списка):","Срок отсрочки (выбрать из списка):")</f>
        <v>Срок отсрочки (выбрать из списка):</v>
      </c>
      <c r="C15" s="755"/>
      <c r="D15" s="755"/>
      <c r="E15" s="755"/>
      <c r="F15" s="755"/>
      <c r="G15" s="755"/>
      <c r="H15" s="755"/>
      <c r="I15" s="755"/>
      <c r="J15" s="755"/>
      <c r="K15" s="755"/>
      <c r="L15" s="755"/>
      <c r="M15" s="755"/>
      <c r="N15" s="755"/>
      <c r="O15" s="755"/>
      <c r="P15" s="763"/>
      <c r="Q15" s="763"/>
      <c r="R15" s="763"/>
      <c r="S15" s="763"/>
      <c r="T15" s="763"/>
      <c r="U15" s="763"/>
      <c r="V15" s="763"/>
      <c r="W15" s="763"/>
      <c r="X15" s="764" t="str">
        <f>IF(B15="Срок транша (выбрать из списка):","дней","месяцев")</f>
        <v>месяцев</v>
      </c>
      <c r="Y15" s="764"/>
      <c r="Z15" s="764"/>
      <c r="AA15" s="764"/>
      <c r="AB15" s="765"/>
      <c r="AC15" s="146"/>
      <c r="AD15" s="146"/>
      <c r="AE15" s="146"/>
      <c r="AF15" s="146"/>
      <c r="AG15" s="146"/>
      <c r="AH15" s="146"/>
      <c r="AI15" s="146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ht="15" customHeight="1">
      <c r="A16" s="887"/>
      <c r="B16" s="754" t="s">
        <v>166</v>
      </c>
      <c r="C16" s="755"/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5"/>
      <c r="O16" s="755"/>
      <c r="P16" s="881"/>
      <c r="Q16" s="882"/>
      <c r="R16" s="882"/>
      <c r="S16" s="882"/>
      <c r="T16" s="882"/>
      <c r="U16" s="882"/>
      <c r="V16" s="882"/>
      <c r="W16" s="882"/>
      <c r="X16" s="882"/>
      <c r="Y16" s="882"/>
      <c r="Z16" s="882"/>
      <c r="AA16" s="882"/>
      <c r="AB16" s="883"/>
      <c r="AC16" s="146"/>
      <c r="AD16" s="146"/>
      <c r="AE16" s="146"/>
      <c r="AF16" s="146"/>
      <c r="AG16" s="146"/>
      <c r="AH16" s="146"/>
      <c r="AI16" s="146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7" ht="15.75" customHeight="1">
      <c r="A17" s="186" t="s">
        <v>2</v>
      </c>
      <c r="B17" s="884" t="s">
        <v>219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794"/>
      <c r="Q17" s="795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6"/>
      <c r="AC17" s="147"/>
      <c r="AD17" s="147"/>
      <c r="AE17" s="147"/>
      <c r="AF17" s="147"/>
      <c r="AG17" s="147"/>
      <c r="AH17" s="147"/>
      <c r="AI17" s="147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7" ht="26.25" customHeight="1">
      <c r="A18" s="40" t="s">
        <v>3</v>
      </c>
      <c r="B18" s="772" t="s">
        <v>29</v>
      </c>
      <c r="C18" s="783"/>
      <c r="D18" s="783"/>
      <c r="E18" s="783"/>
      <c r="F18" s="783"/>
      <c r="G18" s="783"/>
      <c r="H18" s="783"/>
      <c r="I18" s="783"/>
      <c r="J18" s="783"/>
      <c r="K18" s="783"/>
      <c r="L18" s="783"/>
      <c r="M18" s="783"/>
      <c r="N18" s="783"/>
      <c r="O18" s="783"/>
      <c r="P18" s="783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77"/>
      <c r="AB18" s="878"/>
      <c r="AC18" s="11"/>
      <c r="AD18" s="11"/>
      <c r="AE18" s="11"/>
      <c r="AF18" s="11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7" ht="29.25" customHeight="1">
      <c r="A19" s="40" t="s">
        <v>4</v>
      </c>
      <c r="B19" s="772" t="str">
        <f>IF(L3="Заявка индивидуального предпринимателя","Адрес проживания (если отличается от адреса регистрации):","Юридический адрес (если отличается от указанного в Уставе):")</f>
        <v>Юридический адрес (если отличается от указанного в Уставе):</v>
      </c>
      <c r="C19" s="770"/>
      <c r="D19" s="770"/>
      <c r="E19" s="770"/>
      <c r="F19" s="770"/>
      <c r="G19" s="770"/>
      <c r="H19" s="770"/>
      <c r="I19" s="770"/>
      <c r="J19" s="770"/>
      <c r="K19" s="771"/>
      <c r="L19" s="773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11"/>
      <c r="AD19" s="11"/>
      <c r="AE19" s="11"/>
      <c r="AF19" s="11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7" ht="15.75" customHeight="1">
      <c r="A20" s="766" t="s">
        <v>25</v>
      </c>
      <c r="B20" s="756" t="s">
        <v>22</v>
      </c>
      <c r="C20" s="757"/>
      <c r="D20" s="757"/>
      <c r="E20" s="758"/>
      <c r="F20" s="759"/>
      <c r="G20" s="759"/>
      <c r="H20" s="760"/>
      <c r="I20" s="761" t="s">
        <v>23</v>
      </c>
      <c r="J20" s="762"/>
      <c r="K20" s="762"/>
      <c r="L20" s="768"/>
      <c r="M20" s="759"/>
      <c r="N20" s="759"/>
      <c r="O20" s="760"/>
      <c r="P20" s="769" t="s">
        <v>24</v>
      </c>
      <c r="Q20" s="770"/>
      <c r="R20" s="770"/>
      <c r="S20" s="770"/>
      <c r="T20" s="771"/>
      <c r="U20" s="776"/>
      <c r="V20" s="777"/>
      <c r="W20" s="777"/>
      <c r="X20" s="777"/>
      <c r="Y20" s="777"/>
      <c r="Z20" s="777"/>
      <c r="AA20" s="777"/>
      <c r="AB20" s="778"/>
      <c r="AC20" s="30"/>
      <c r="AD20" s="30"/>
      <c r="AE20" s="13"/>
      <c r="AF20" s="13"/>
      <c r="AG20" s="13"/>
      <c r="AH20" s="13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24.75" customHeight="1">
      <c r="A21" s="767"/>
      <c r="B21" s="779" t="s">
        <v>39</v>
      </c>
      <c r="C21" s="780"/>
      <c r="D21" s="780"/>
      <c r="E21" s="780"/>
      <c r="F21" s="780"/>
      <c r="G21" s="780"/>
      <c r="H21" s="780"/>
      <c r="I21" s="780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2"/>
      <c r="AC21" s="13"/>
      <c r="AD21" s="13"/>
      <c r="AE21" s="13"/>
      <c r="AF21" s="13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7" ht="21" customHeight="1">
      <c r="A22" s="165" t="s">
        <v>51</v>
      </c>
      <c r="B22" s="772" t="s">
        <v>143</v>
      </c>
      <c r="C22" s="783"/>
      <c r="D22" s="783"/>
      <c r="E22" s="783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783"/>
      <c r="S22" s="783"/>
      <c r="T22" s="783"/>
      <c r="U22" s="783"/>
      <c r="V22" s="783"/>
      <c r="W22" s="783"/>
      <c r="X22" s="783"/>
      <c r="Y22" s="783"/>
      <c r="Z22" s="751"/>
      <c r="AA22" s="752"/>
      <c r="AB22" s="753"/>
      <c r="AC22" s="11"/>
      <c r="AD22" s="11"/>
      <c r="AE22" s="11"/>
      <c r="AF22" s="11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7" ht="21" customHeight="1">
      <c r="A23" s="766" t="s">
        <v>52</v>
      </c>
      <c r="B23" s="772" t="s">
        <v>144</v>
      </c>
      <c r="C23" s="783"/>
      <c r="D23" s="783"/>
      <c r="E23" s="783"/>
      <c r="F23" s="783"/>
      <c r="G23" s="783"/>
      <c r="H23" s="783"/>
      <c r="I23" s="783"/>
      <c r="J23" s="783"/>
      <c r="K23" s="783"/>
      <c r="L23" s="783"/>
      <c r="M23" s="783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901"/>
      <c r="AC23" s="23"/>
      <c r="AD23" s="23"/>
      <c r="AE23" s="23"/>
      <c r="AF23" s="23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7" ht="22.5" customHeight="1">
      <c r="A24" s="804"/>
      <c r="B24" s="786" t="s">
        <v>132</v>
      </c>
      <c r="C24" s="786"/>
      <c r="D24" s="786"/>
      <c r="E24" s="786"/>
      <c r="F24" s="786"/>
      <c r="G24" s="786"/>
      <c r="H24" s="786"/>
      <c r="I24" s="786"/>
      <c r="J24" s="786"/>
      <c r="K24" s="786"/>
      <c r="L24" s="786"/>
      <c r="M24" s="786"/>
      <c r="N24" s="787" t="s">
        <v>127</v>
      </c>
      <c r="O24" s="787"/>
      <c r="P24" s="902" t="s">
        <v>133</v>
      </c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4"/>
      <c r="AC24" s="11"/>
      <c r="AD24" s="11"/>
      <c r="AE24" s="11"/>
      <c r="AF24" s="11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7" ht="22.5" customHeight="1">
      <c r="A25" s="804"/>
      <c r="B25" s="784"/>
      <c r="C25" s="784"/>
      <c r="D25" s="784"/>
      <c r="E25" s="784"/>
      <c r="F25" s="784"/>
      <c r="G25" s="784"/>
      <c r="H25" s="784"/>
      <c r="I25" s="784"/>
      <c r="J25" s="784"/>
      <c r="K25" s="784"/>
      <c r="L25" s="784"/>
      <c r="M25" s="784"/>
      <c r="N25" s="785"/>
      <c r="O25" s="797"/>
      <c r="P25" s="785"/>
      <c r="Q25" s="785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905"/>
      <c r="AC25" s="11"/>
      <c r="AD25" s="11"/>
      <c r="AE25" s="11"/>
      <c r="AF25" s="11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  <row r="26" spans="1:57" ht="22.5" customHeight="1">
      <c r="A26" s="804"/>
      <c r="B26" s="784"/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905"/>
      <c r="AC26" s="11"/>
      <c r="AD26" s="11"/>
      <c r="AE26" s="11"/>
      <c r="AF26" s="11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57" ht="22.5" customHeight="1">
      <c r="A27" s="804"/>
      <c r="B27" s="784"/>
      <c r="C27" s="784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905"/>
      <c r="AC27" s="11"/>
      <c r="AD27" s="11"/>
      <c r="AE27" s="11"/>
      <c r="AF27" s="11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</row>
    <row r="28" spans="1:57" ht="22.5" customHeight="1">
      <c r="A28" s="804"/>
      <c r="B28" s="784"/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5"/>
      <c r="O28" s="797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905"/>
      <c r="AC28" s="11"/>
      <c r="AD28" s="11"/>
      <c r="AE28" s="11"/>
      <c r="AF28" s="11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</row>
    <row r="29" spans="1:57" ht="22.5" customHeight="1">
      <c r="A29" s="804"/>
      <c r="B29" s="784"/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5"/>
      <c r="O29" s="785"/>
      <c r="P29" s="785"/>
      <c r="Q29" s="785"/>
      <c r="R29" s="785"/>
      <c r="S29" s="785"/>
      <c r="T29" s="785"/>
      <c r="U29" s="785"/>
      <c r="V29" s="785"/>
      <c r="W29" s="785"/>
      <c r="X29" s="785"/>
      <c r="Y29" s="785"/>
      <c r="Z29" s="785"/>
      <c r="AA29" s="785"/>
      <c r="AB29" s="905"/>
      <c r="AC29" s="11"/>
      <c r="AD29" s="11"/>
      <c r="AE29" s="11"/>
      <c r="AF29" s="11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7" ht="22.5" customHeight="1">
      <c r="A30" s="805"/>
      <c r="B30" s="784"/>
      <c r="C30" s="784"/>
      <c r="D30" s="784"/>
      <c r="E30" s="784"/>
      <c r="F30" s="784"/>
      <c r="G30" s="784"/>
      <c r="H30" s="784"/>
      <c r="I30" s="784"/>
      <c r="J30" s="784"/>
      <c r="K30" s="784"/>
      <c r="L30" s="784"/>
      <c r="M30" s="784"/>
      <c r="N30" s="78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905"/>
      <c r="AC30" s="11"/>
      <c r="AD30" s="11"/>
      <c r="AE30" s="11"/>
      <c r="AF30" s="11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7" ht="25.5" customHeight="1">
      <c r="A31" s="176" t="s">
        <v>87</v>
      </c>
      <c r="B31" s="789" t="s">
        <v>155</v>
      </c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0"/>
      <c r="X31" s="790"/>
      <c r="Y31" s="791"/>
      <c r="Z31" s="792"/>
      <c r="AA31" s="792"/>
      <c r="AB31" s="793"/>
      <c r="AC31" s="11"/>
      <c r="AD31" s="11"/>
      <c r="AE31" s="11"/>
      <c r="AF31" s="11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7" ht="21" customHeight="1">
      <c r="A32" s="40" t="s">
        <v>201</v>
      </c>
      <c r="B32" s="772" t="s">
        <v>53</v>
      </c>
      <c r="C32" s="783"/>
      <c r="D32" s="783"/>
      <c r="E32" s="783"/>
      <c r="F32" s="783"/>
      <c r="G32" s="783"/>
      <c r="H32" s="783"/>
      <c r="I32" s="783"/>
      <c r="J32" s="783"/>
      <c r="K32" s="783"/>
      <c r="L32" s="783"/>
      <c r="M32" s="783"/>
      <c r="N32" s="783"/>
      <c r="O32" s="783"/>
      <c r="P32" s="783"/>
      <c r="Q32" s="783"/>
      <c r="R32" s="783"/>
      <c r="S32" s="783"/>
      <c r="T32" s="783"/>
      <c r="U32" s="783"/>
      <c r="V32" s="783"/>
      <c r="W32" s="783"/>
      <c r="X32" s="783"/>
      <c r="Y32" s="788"/>
      <c r="Z32" s="794"/>
      <c r="AA32" s="795"/>
      <c r="AB32" s="796"/>
      <c r="AC32" s="11"/>
      <c r="AD32" s="11"/>
      <c r="AE32" s="11"/>
      <c r="AF32" s="11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ht="15.75" customHeight="1">
      <c r="A33" s="40"/>
      <c r="B33" s="806" t="str">
        <f>IF(OR(P8="Гостевое решение",P8="Подзарядка"),"Если на этот вопрос Вы ответили НЕТ, п.6.2 заполнять не нужно."," ")</f>
        <v xml:space="preserve"> </v>
      </c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8"/>
      <c r="AC33" s="11"/>
      <c r="AD33" s="11"/>
      <c r="AE33" s="11"/>
      <c r="AF33" s="11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ht="39.75" customHeight="1" outlineLevel="1">
      <c r="A34" s="925" t="s">
        <v>202</v>
      </c>
      <c r="B34" s="822" t="str">
        <f>IF(OR(P8="Гостевое решение",P8="Подзарядка"),"Сумма выручки от реализации продукции, товаров, работ, услуг, поступившей за последние 12 месяцев на текущие (расчетные)  счета Заявителя напрямую от контрагентов (т.е. без перечислений в рамках одного юридического лица):","Сумма выручки от реализации продукции, 
товаров, работ, услуг (с учетом НДС - при его уплате) за последние 12 месяцев, 
предшествующих последней квартальной дате:")</f>
        <v>Сумма выручки от реализации продукции, 
товаров, работ, услуг (с учетом НДС - при его уплате) за последние 12 месяцев, 
предшествующих последней квартальной дате:</v>
      </c>
      <c r="C34" s="823"/>
      <c r="D34" s="823"/>
      <c r="E34" s="823"/>
      <c r="F34" s="823"/>
      <c r="G34" s="824"/>
      <c r="H34" s="824"/>
      <c r="I34" s="824"/>
      <c r="J34" s="824"/>
      <c r="K34" s="824"/>
      <c r="L34" s="824"/>
      <c r="M34" s="824"/>
      <c r="N34" s="824"/>
      <c r="O34" s="824"/>
      <c r="P34" s="824"/>
      <c r="Q34" s="824"/>
      <c r="R34" s="824"/>
      <c r="S34" s="824"/>
      <c r="T34" s="824"/>
      <c r="U34" s="824"/>
      <c r="V34" s="824"/>
      <c r="W34" s="824"/>
      <c r="X34" s="824"/>
      <c r="Y34" s="824"/>
      <c r="Z34" s="824"/>
      <c r="AA34" s="824"/>
      <c r="AB34" s="825"/>
      <c r="AC34" s="11"/>
      <c r="AD34" s="11"/>
      <c r="AE34" s="11"/>
      <c r="AF34" s="11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55" ht="34.5" customHeight="1" outlineLevel="1">
      <c r="A35" s="926"/>
      <c r="B35" s="826" t="s">
        <v>26</v>
      </c>
      <c r="C35" s="827"/>
      <c r="D35" s="828"/>
      <c r="E35" s="829" t="s">
        <v>27</v>
      </c>
      <c r="F35" s="830"/>
      <c r="G35" s="817" t="str">
        <f>IF(OR(P8="Быстрое решение",P8="Подзарядка"),"BYN (тыс.)","экв. тыс. BYN")</f>
        <v>экв. тыс. BYN</v>
      </c>
      <c r="H35" s="818"/>
      <c r="I35" s="818"/>
      <c r="J35" s="818"/>
      <c r="K35" s="819"/>
      <c r="L35" s="817" t="str">
        <f>IF(OR(P8="Быстрое решение",P8="Подзарядка"),"USD (тыс.)","Показатель по состоянию на последнюю квартальную дату")</f>
        <v>Показатель по состоянию на последнюю квартальную дату</v>
      </c>
      <c r="M35" s="818"/>
      <c r="N35" s="818"/>
      <c r="O35" s="818"/>
      <c r="P35" s="819"/>
      <c r="Q35" s="817" t="str">
        <f>IF(OR(P8="Быстрое решение",P8="Подзарядка"),"EUR (тыс.)","Размер показателя")</f>
        <v>Размер показателя</v>
      </c>
      <c r="R35" s="818"/>
      <c r="S35" s="818"/>
      <c r="T35" s="818"/>
      <c r="U35" s="819"/>
      <c r="V35" s="817" t="str">
        <f>IF(OR(P8="Быстрое решение",P8="Подзарядка"),"RUB (тыс.)","Валюта")</f>
        <v>Валюта</v>
      </c>
      <c r="W35" s="818"/>
      <c r="X35" s="818"/>
      <c r="Y35" s="818"/>
      <c r="Z35" s="819"/>
      <c r="AA35" s="47"/>
      <c r="AB35" s="41"/>
      <c r="AC35" s="11"/>
      <c r="AD35" s="11"/>
      <c r="AE35" s="11"/>
      <c r="AF35" s="11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ht="24" customHeight="1" outlineLevel="1">
      <c r="A36" s="926"/>
      <c r="B36" s="838"/>
      <c r="C36" s="832"/>
      <c r="D36" s="833"/>
      <c r="E36" s="834"/>
      <c r="F36" s="834"/>
      <c r="G36" s="835"/>
      <c r="H36" s="836"/>
      <c r="I36" s="836"/>
      <c r="J36" s="836"/>
      <c r="K36" s="836"/>
      <c r="L36" s="809" t="str">
        <f>IF(OR(P8="Быстрое решение",P8="Подзарядка")," ","Размер дебиторской задолженности")</f>
        <v>Размер дебиторской задолженности</v>
      </c>
      <c r="M36" s="810"/>
      <c r="N36" s="810"/>
      <c r="O36" s="810"/>
      <c r="P36" s="810"/>
      <c r="Q36" s="811"/>
      <c r="R36" s="812"/>
      <c r="S36" s="812"/>
      <c r="T36" s="812"/>
      <c r="U36" s="812"/>
      <c r="V36" s="813" t="str">
        <f>IF(OR($P$8="Быстрое решение",$P$8="Подзарядка")," ","тыс. BYN")</f>
        <v>тыс. BYN</v>
      </c>
      <c r="W36" s="814"/>
      <c r="X36" s="814"/>
      <c r="Y36" s="814"/>
      <c r="Z36" s="814"/>
      <c r="AA36" s="815"/>
      <c r="AB36" s="816"/>
      <c r="AC36" s="11"/>
      <c r="AD36" s="11"/>
      <c r="AE36" s="11"/>
      <c r="AF36" s="11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ht="36" customHeight="1" outlineLevel="1">
      <c r="A37" s="926"/>
      <c r="B37" s="831" t="b">
        <f>IF(B36="январь","февраль",IF(B36="февраль","март",IF(B36="март","апрель",IF(B36="апрель","май",IF(B36="май","июнь",IF(B36="июнь","июль",IF(B36="июль","август",IF(B36="август","сентябрь",IF(B36="сентябрь","октябрь",IF(B36="октябрь","ноябрь",IF(B36="ноябрь","декабрь",IF(B36="декабрь","январь"))))))))))))</f>
        <v>0</v>
      </c>
      <c r="C37" s="832"/>
      <c r="D37" s="833"/>
      <c r="E37" s="834"/>
      <c r="F37" s="834"/>
      <c r="G37" s="835"/>
      <c r="H37" s="836"/>
      <c r="I37" s="836"/>
      <c r="J37" s="836"/>
      <c r="K37" s="836"/>
      <c r="L37" s="809" t="str">
        <f>IF(OR(P8="Быстрое решение",P8="Подзарядка")," ","Размер просроченной дебиторской задолженности")</f>
        <v>Размер просроченной дебиторской задолженности</v>
      </c>
      <c r="M37" s="810"/>
      <c r="N37" s="810"/>
      <c r="O37" s="810"/>
      <c r="P37" s="810"/>
      <c r="Q37" s="811"/>
      <c r="R37" s="812"/>
      <c r="S37" s="812"/>
      <c r="T37" s="812"/>
      <c r="U37" s="812"/>
      <c r="V37" s="813" t="str">
        <f>IF(OR($P$8="Быстрое решение",$P$8="Подзарядка")," ","тыс. BYN")</f>
        <v>тыс. BYN</v>
      </c>
      <c r="W37" s="814"/>
      <c r="X37" s="814"/>
      <c r="Y37" s="814"/>
      <c r="Z37" s="814"/>
      <c r="AA37" s="815"/>
      <c r="AB37" s="816"/>
      <c r="AC37" s="11"/>
      <c r="AD37" s="11"/>
      <c r="AE37" s="11"/>
      <c r="AF37" s="11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ht="22.5" customHeight="1" outlineLevel="1">
      <c r="A38" s="926"/>
      <c r="B38" s="831" t="b">
        <f t="shared" ref="B38:B47" si="0">IF(B37="январь","февраль",IF(B37="февраль","март",IF(B37="март","апрель",IF(B37="апрель","май",IF(B37="май","июнь",IF(B37="июнь","июль",IF(B37="июль","август",IF(B37="август","сентябрь",IF(B37="сентябрь","октябрь",IF(B37="октябрь","ноябрь",IF(B37="ноябрь","декабрь",IF(B37="декабрь","январь"))))))))))))</f>
        <v>0</v>
      </c>
      <c r="C38" s="832"/>
      <c r="D38" s="833"/>
      <c r="E38" s="834"/>
      <c r="F38" s="834"/>
      <c r="G38" s="835"/>
      <c r="H38" s="836"/>
      <c r="I38" s="836"/>
      <c r="J38" s="836"/>
      <c r="K38" s="836"/>
      <c r="L38" s="809" t="str">
        <f>IF(OR(P8="Быстрое решение",P8="Подзарядка")," ","Размер кредиторской задолженности")</f>
        <v>Размер кредиторской задолженности</v>
      </c>
      <c r="M38" s="810"/>
      <c r="N38" s="810"/>
      <c r="O38" s="810"/>
      <c r="P38" s="810"/>
      <c r="Q38" s="811"/>
      <c r="R38" s="812"/>
      <c r="S38" s="812"/>
      <c r="T38" s="812"/>
      <c r="U38" s="812"/>
      <c r="V38" s="813" t="str">
        <f>IF(OR($P$8="Быстрое решение",$P$8="Подзарядка")," ","тыс. BYN")</f>
        <v>тыс. BYN</v>
      </c>
      <c r="W38" s="814"/>
      <c r="X38" s="814"/>
      <c r="Y38" s="814"/>
      <c r="Z38" s="814"/>
      <c r="AA38" s="815"/>
      <c r="AB38" s="816"/>
      <c r="AC38" s="11"/>
      <c r="AD38" s="11"/>
      <c r="AE38" s="11"/>
      <c r="AF38" s="11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ht="33.75" customHeight="1" outlineLevel="1">
      <c r="A39" s="926"/>
      <c r="B39" s="831" t="b">
        <f t="shared" si="0"/>
        <v>0</v>
      </c>
      <c r="C39" s="832"/>
      <c r="D39" s="833"/>
      <c r="E39" s="834"/>
      <c r="F39" s="834"/>
      <c r="G39" s="835"/>
      <c r="H39" s="836"/>
      <c r="I39" s="836"/>
      <c r="J39" s="836"/>
      <c r="K39" s="836"/>
      <c r="L39" s="837" t="str">
        <f>IF(OR($P$8="Быстрое решение",$P$8="Подзарядка")," ","Размер просроченной кредиторской задолженности")</f>
        <v>Размер просроченной кредиторской задолженности</v>
      </c>
      <c r="M39" s="810"/>
      <c r="N39" s="810"/>
      <c r="O39" s="810"/>
      <c r="P39" s="810"/>
      <c r="Q39" s="811"/>
      <c r="R39" s="812"/>
      <c r="S39" s="812"/>
      <c r="T39" s="812"/>
      <c r="U39" s="812"/>
      <c r="V39" s="813" t="str">
        <f>IF(OR($P$8="Быстрое решение",$P$8="Подзарядка")," ","тыс. BYN")</f>
        <v>тыс. BYN</v>
      </c>
      <c r="W39" s="814"/>
      <c r="X39" s="814"/>
      <c r="Y39" s="814"/>
      <c r="Z39" s="814"/>
      <c r="AA39" s="815"/>
      <c r="AB39" s="816"/>
      <c r="AC39" s="11"/>
      <c r="AD39" s="11"/>
      <c r="AE39" s="11"/>
      <c r="AF39" s="11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ht="24" customHeight="1" outlineLevel="1">
      <c r="A40" s="926"/>
      <c r="B40" s="831" t="b">
        <f t="shared" si="0"/>
        <v>0</v>
      </c>
      <c r="C40" s="832"/>
      <c r="D40" s="833"/>
      <c r="E40" s="834"/>
      <c r="F40" s="834"/>
      <c r="G40" s="835"/>
      <c r="H40" s="836"/>
      <c r="I40" s="836"/>
      <c r="J40" s="836"/>
      <c r="K40" s="836"/>
      <c r="L40" s="820" t="str">
        <f>IF(AND(P8="Кредитный экспресс",P9="Возобновляемая кредитная линия"),CONCATENATE("Краткосрочные активы на 1 ",IF(B36="январь","января",IF(B36="февраль","февраля",IF(B36="март","марта",IF(B36="апрель","апреля",IF(B36="май","мая",IF(B36="июнь","июня",IF(B36="июль","июля",IF(B36="август","августа",IF(B36="сентябрь","сентября",IF(B36="октябрь","октября",IF(B36="ноябрь","ноября",IF(B36="декабрь","декабря"))))))))))))," ",E36," года"),IF(OR(P8="Быстрое решение",P8="Подзарядка"),"   ",IF(AND(P8="Просто авто",$Z$31="Нет"),"Чистый доход за последний отчетный год"," ")))</f>
        <v xml:space="preserve"> </v>
      </c>
      <c r="M40" s="821"/>
      <c r="N40" s="821"/>
      <c r="O40" s="821"/>
      <c r="P40" s="821"/>
      <c r="Q40" s="856"/>
      <c r="R40" s="812"/>
      <c r="S40" s="812"/>
      <c r="T40" s="812"/>
      <c r="U40" s="812"/>
      <c r="V40" s="857" t="str">
        <f>IF(OR((ISNUMBER(SEARCH("краткосрочные активы",$L$40))),L40="Чистый доход за последний отчетный год"),"тыс. BYN",IF(OR($P$8="Быстрое решение",$P$8="Подзарядка"),"   "," "))</f>
        <v xml:space="preserve"> </v>
      </c>
      <c r="W40" s="858"/>
      <c r="X40" s="858"/>
      <c r="Y40" s="858"/>
      <c r="Z40" s="858"/>
      <c r="AA40" s="815"/>
      <c r="AB40" s="816"/>
      <c r="AC40" s="11"/>
      <c r="AD40" s="11"/>
      <c r="AE40" s="11"/>
      <c r="AF40" s="11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ht="36.75" customHeight="1" outlineLevel="1">
      <c r="A41" s="926"/>
      <c r="B41" s="831" t="b">
        <f t="shared" si="0"/>
        <v>0</v>
      </c>
      <c r="C41" s="832"/>
      <c r="D41" s="833"/>
      <c r="E41" s="834"/>
      <c r="F41" s="834"/>
      <c r="G41" s="835"/>
      <c r="H41" s="836"/>
      <c r="I41" s="836"/>
      <c r="J41" s="836"/>
      <c r="K41" s="836"/>
      <c r="L41" s="820" t="str">
        <f>IF(AND(P8="Кредитный экспресс",P9="Возобновляемая кредитная линия"),CONCATENATE("Краткосрочные активы на последнее число ",IF(B47="январь","января",IF(B47="февраль","февраля",IF(B47="март","марта",IF(B47="апрель","апреля",IF(B47="май","мая",IF(B47="июнь","июня",IF(B47="июль","июля",IF(B47="август","августа",IF(B47="сентябрь","сентября",IF(B47="октябрь","октября",IF(B47="ноябрь","ноября",IF(B47="декабрь","декабря"))))))))))))," ",E47," года"),IF(OR(P8="Быстрое решение",P8="Подзарядка"),"   "," "))</f>
        <v xml:space="preserve"> </v>
      </c>
      <c r="M41" s="821"/>
      <c r="N41" s="821"/>
      <c r="O41" s="821"/>
      <c r="P41" s="821"/>
      <c r="Q41" s="856"/>
      <c r="R41" s="812"/>
      <c r="S41" s="812"/>
      <c r="T41" s="812"/>
      <c r="U41" s="812"/>
      <c r="V41" s="857" t="str">
        <f>IF((ISNUMBER(SEARCH("краткосрочные активы",$L$40))),"тыс. BYN",IF(OR($P$8="Быстрое решение",$P$8="Подзарядка"),"   "," "))</f>
        <v xml:space="preserve"> </v>
      </c>
      <c r="W41" s="858"/>
      <c r="X41" s="858"/>
      <c r="Y41" s="858"/>
      <c r="Z41" s="858"/>
      <c r="AA41" s="815"/>
      <c r="AB41" s="816"/>
      <c r="AC41" s="11"/>
      <c r="AD41" s="11"/>
      <c r="AE41" s="11"/>
      <c r="AF41" s="11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ht="16.5" customHeight="1" outlineLevel="1">
      <c r="A42" s="926"/>
      <c r="B42" s="831" t="b">
        <f t="shared" si="0"/>
        <v>0</v>
      </c>
      <c r="C42" s="832"/>
      <c r="D42" s="833"/>
      <c r="E42" s="834"/>
      <c r="F42" s="834"/>
      <c r="G42" s="835"/>
      <c r="H42" s="836"/>
      <c r="I42" s="836"/>
      <c r="J42" s="836"/>
      <c r="K42" s="836"/>
      <c r="L42" s="888" t="str">
        <f t="shared" ref="L42:L47" si="1">IF(OR($P$8="Быстрое решение",$P$8="Подзарядка")," ","  ")</f>
        <v xml:space="preserve">  </v>
      </c>
      <c r="M42" s="889"/>
      <c r="N42" s="889"/>
      <c r="O42" s="889"/>
      <c r="P42" s="889"/>
      <c r="Q42" s="888" t="str">
        <f t="shared" ref="Q42:Q47" si="2">IF(OR($P$8="Быстрое решение",$P$8="Подзарядка")," ","  ")</f>
        <v xml:space="preserve">  </v>
      </c>
      <c r="R42" s="889"/>
      <c r="S42" s="889"/>
      <c r="T42" s="889"/>
      <c r="U42" s="889"/>
      <c r="V42" s="888" t="str">
        <f t="shared" ref="V42:V47" si="3">IF(OR($P$8="Быстрое решение",$P$8="Подзарядка")," ","  ")</f>
        <v xml:space="preserve">  </v>
      </c>
      <c r="W42" s="889"/>
      <c r="X42" s="889"/>
      <c r="Y42" s="889"/>
      <c r="Z42" s="889"/>
      <c r="AA42" s="815"/>
      <c r="AB42" s="816"/>
      <c r="AC42" s="11"/>
      <c r="AD42" s="11"/>
      <c r="AE42" s="11"/>
      <c r="AF42" s="11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ht="16.5" customHeight="1" outlineLevel="1">
      <c r="A43" s="926"/>
      <c r="B43" s="831" t="b">
        <f t="shared" si="0"/>
        <v>0</v>
      </c>
      <c r="C43" s="832"/>
      <c r="D43" s="833"/>
      <c r="E43" s="834"/>
      <c r="F43" s="834"/>
      <c r="G43" s="835"/>
      <c r="H43" s="836"/>
      <c r="I43" s="836"/>
      <c r="J43" s="836"/>
      <c r="K43" s="836"/>
      <c r="L43" s="888" t="str">
        <f t="shared" si="1"/>
        <v xml:space="preserve">  </v>
      </c>
      <c r="M43" s="889"/>
      <c r="N43" s="889"/>
      <c r="O43" s="889"/>
      <c r="P43" s="889"/>
      <c r="Q43" s="888" t="str">
        <f t="shared" si="2"/>
        <v xml:space="preserve">  </v>
      </c>
      <c r="R43" s="889"/>
      <c r="S43" s="889"/>
      <c r="T43" s="889"/>
      <c r="U43" s="889"/>
      <c r="V43" s="888" t="str">
        <f t="shared" si="3"/>
        <v xml:space="preserve">  </v>
      </c>
      <c r="W43" s="889"/>
      <c r="X43" s="889"/>
      <c r="Y43" s="889"/>
      <c r="Z43" s="889"/>
      <c r="AA43" s="815"/>
      <c r="AB43" s="816"/>
      <c r="AC43" s="11"/>
      <c r="AD43" s="11"/>
      <c r="AE43" s="11"/>
      <c r="AF43" s="11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ht="16.5" customHeight="1" outlineLevel="1">
      <c r="A44" s="926"/>
      <c r="B44" s="831" t="b">
        <f t="shared" si="0"/>
        <v>0</v>
      </c>
      <c r="C44" s="832"/>
      <c r="D44" s="833"/>
      <c r="E44" s="834"/>
      <c r="F44" s="834"/>
      <c r="G44" s="835"/>
      <c r="H44" s="836"/>
      <c r="I44" s="836"/>
      <c r="J44" s="836"/>
      <c r="K44" s="836"/>
      <c r="L44" s="888" t="str">
        <f t="shared" si="1"/>
        <v xml:space="preserve">  </v>
      </c>
      <c r="M44" s="889"/>
      <c r="N44" s="889"/>
      <c r="O44" s="889"/>
      <c r="P44" s="889"/>
      <c r="Q44" s="888" t="str">
        <f t="shared" si="2"/>
        <v xml:space="preserve">  </v>
      </c>
      <c r="R44" s="889"/>
      <c r="S44" s="889"/>
      <c r="T44" s="889"/>
      <c r="U44" s="889"/>
      <c r="V44" s="888" t="str">
        <f t="shared" si="3"/>
        <v xml:space="preserve">  </v>
      </c>
      <c r="W44" s="889"/>
      <c r="X44" s="889"/>
      <c r="Y44" s="889"/>
      <c r="Z44" s="889"/>
      <c r="AA44" s="815"/>
      <c r="AB44" s="816"/>
      <c r="AC44" s="11"/>
      <c r="AD44" s="11"/>
      <c r="AE44" s="11"/>
      <c r="AF44" s="11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ht="16.5" customHeight="1" outlineLevel="1">
      <c r="A45" s="926"/>
      <c r="B45" s="831" t="b">
        <f t="shared" si="0"/>
        <v>0</v>
      </c>
      <c r="C45" s="832"/>
      <c r="D45" s="833"/>
      <c r="E45" s="834"/>
      <c r="F45" s="834"/>
      <c r="G45" s="835"/>
      <c r="H45" s="836"/>
      <c r="I45" s="836"/>
      <c r="J45" s="836"/>
      <c r="K45" s="836"/>
      <c r="L45" s="888" t="str">
        <f t="shared" si="1"/>
        <v xml:space="preserve">  </v>
      </c>
      <c r="M45" s="889"/>
      <c r="N45" s="889"/>
      <c r="O45" s="889"/>
      <c r="P45" s="889"/>
      <c r="Q45" s="888" t="str">
        <f t="shared" si="2"/>
        <v xml:space="preserve">  </v>
      </c>
      <c r="R45" s="889"/>
      <c r="S45" s="889"/>
      <c r="T45" s="889"/>
      <c r="U45" s="889"/>
      <c r="V45" s="888" t="str">
        <f t="shared" si="3"/>
        <v xml:space="preserve">  </v>
      </c>
      <c r="W45" s="889"/>
      <c r="X45" s="889"/>
      <c r="Y45" s="889"/>
      <c r="Z45" s="889"/>
      <c r="AA45" s="815"/>
      <c r="AB45" s="816"/>
      <c r="AC45" s="11"/>
      <c r="AD45" s="11"/>
      <c r="AE45" s="11"/>
      <c r="AF45" s="11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ht="16.5" customHeight="1" outlineLevel="1">
      <c r="A46" s="926"/>
      <c r="B46" s="831" t="b">
        <f t="shared" si="0"/>
        <v>0</v>
      </c>
      <c r="C46" s="832"/>
      <c r="D46" s="833"/>
      <c r="E46" s="834"/>
      <c r="F46" s="834"/>
      <c r="G46" s="835"/>
      <c r="H46" s="836"/>
      <c r="I46" s="836"/>
      <c r="J46" s="836"/>
      <c r="K46" s="836"/>
      <c r="L46" s="888" t="str">
        <f t="shared" si="1"/>
        <v xml:space="preserve">  </v>
      </c>
      <c r="M46" s="889"/>
      <c r="N46" s="889"/>
      <c r="O46" s="889"/>
      <c r="P46" s="889"/>
      <c r="Q46" s="888" t="str">
        <f t="shared" si="2"/>
        <v xml:space="preserve">  </v>
      </c>
      <c r="R46" s="889"/>
      <c r="S46" s="889"/>
      <c r="T46" s="889"/>
      <c r="U46" s="889"/>
      <c r="V46" s="888" t="str">
        <f t="shared" si="3"/>
        <v xml:space="preserve">  </v>
      </c>
      <c r="W46" s="889"/>
      <c r="X46" s="889"/>
      <c r="Y46" s="889"/>
      <c r="Z46" s="889"/>
      <c r="AA46" s="815"/>
      <c r="AB46" s="816"/>
      <c r="AC46" s="11"/>
      <c r="AD46" s="11"/>
      <c r="AE46" s="11"/>
      <c r="AF46" s="11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ht="16.5" customHeight="1" outlineLevel="1">
      <c r="A47" s="927"/>
      <c r="B47" s="831" t="b">
        <f t="shared" si="0"/>
        <v>0</v>
      </c>
      <c r="C47" s="832"/>
      <c r="D47" s="833"/>
      <c r="E47" s="834"/>
      <c r="F47" s="834"/>
      <c r="G47" s="835"/>
      <c r="H47" s="836"/>
      <c r="I47" s="836"/>
      <c r="J47" s="836"/>
      <c r="K47" s="836"/>
      <c r="L47" s="888" t="str">
        <f t="shared" si="1"/>
        <v xml:space="preserve">  </v>
      </c>
      <c r="M47" s="889"/>
      <c r="N47" s="889"/>
      <c r="O47" s="889"/>
      <c r="P47" s="889"/>
      <c r="Q47" s="888" t="str">
        <f t="shared" si="2"/>
        <v xml:space="preserve">  </v>
      </c>
      <c r="R47" s="889"/>
      <c r="S47" s="889"/>
      <c r="T47" s="889"/>
      <c r="U47" s="889"/>
      <c r="V47" s="888" t="str">
        <f t="shared" si="3"/>
        <v xml:space="preserve">  </v>
      </c>
      <c r="W47" s="889"/>
      <c r="X47" s="889"/>
      <c r="Y47" s="889"/>
      <c r="Z47" s="889"/>
      <c r="AA47" s="815"/>
      <c r="AB47" s="816"/>
      <c r="AC47" s="11"/>
      <c r="AD47" s="11"/>
      <c r="AE47" s="11"/>
      <c r="AF47" s="11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ht="16.5" customHeight="1">
      <c r="A48" s="168" t="s">
        <v>88</v>
      </c>
      <c r="B48" s="895" t="s">
        <v>146</v>
      </c>
      <c r="C48" s="896"/>
      <c r="D48" s="896"/>
      <c r="E48" s="896"/>
      <c r="F48" s="896"/>
      <c r="G48" s="896"/>
      <c r="H48" s="896"/>
      <c r="I48" s="896"/>
      <c r="J48" s="896"/>
      <c r="K48" s="896"/>
      <c r="L48" s="896"/>
      <c r="M48" s="896"/>
      <c r="N48" s="896"/>
      <c r="O48" s="896"/>
      <c r="P48" s="896"/>
      <c r="Q48" s="896"/>
      <c r="R48" s="896"/>
      <c r="S48" s="896"/>
      <c r="T48" s="896"/>
      <c r="U48" s="896"/>
      <c r="V48" s="896"/>
      <c r="W48" s="896"/>
      <c r="X48" s="896"/>
      <c r="Y48" s="896"/>
      <c r="Z48" s="896"/>
      <c r="AA48" s="896"/>
      <c r="AB48" s="897"/>
      <c r="AC48" s="11"/>
      <c r="AD48" s="11"/>
      <c r="AE48" s="11"/>
      <c r="AF48" s="11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66" ht="27" customHeight="1">
      <c r="A49" s="157"/>
      <c r="B49" s="898" t="s">
        <v>147</v>
      </c>
      <c r="C49" s="898"/>
      <c r="D49" s="898"/>
      <c r="E49" s="898"/>
      <c r="F49" s="898"/>
      <c r="G49" s="899" t="s">
        <v>148</v>
      </c>
      <c r="H49" s="899"/>
      <c r="I49" s="899"/>
      <c r="J49" s="899"/>
      <c r="K49" s="899"/>
      <c r="L49" s="899"/>
      <c r="M49" s="899"/>
      <c r="N49" s="899"/>
      <c r="O49" s="899"/>
      <c r="P49" s="899"/>
      <c r="Q49" s="899" t="s">
        <v>149</v>
      </c>
      <c r="R49" s="899"/>
      <c r="S49" s="899"/>
      <c r="T49" s="899"/>
      <c r="U49" s="899"/>
      <c r="V49" s="899"/>
      <c r="W49" s="899"/>
      <c r="X49" s="158"/>
      <c r="Y49" s="158"/>
      <c r="Z49" s="158"/>
      <c r="AA49" s="163"/>
      <c r="AB49" s="164"/>
      <c r="AC49" s="11"/>
      <c r="AD49" s="11"/>
      <c r="AE49" s="11"/>
      <c r="AF49" s="11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1:66" ht="18" customHeight="1">
      <c r="A50" s="157"/>
      <c r="B50" s="900"/>
      <c r="C50" s="900"/>
      <c r="D50" s="900"/>
      <c r="E50" s="900"/>
      <c r="F50" s="900"/>
      <c r="G50" s="835"/>
      <c r="H50" s="835"/>
      <c r="I50" s="835"/>
      <c r="J50" s="835"/>
      <c r="K50" s="835"/>
      <c r="L50" s="835"/>
      <c r="M50" s="835"/>
      <c r="N50" s="835"/>
      <c r="O50" s="835"/>
      <c r="P50" s="835"/>
      <c r="Q50" s="835"/>
      <c r="R50" s="835"/>
      <c r="S50" s="835"/>
      <c r="T50" s="835"/>
      <c r="U50" s="835"/>
      <c r="V50" s="835"/>
      <c r="W50" s="835"/>
      <c r="X50" s="158"/>
      <c r="Y50" s="158"/>
      <c r="Z50" s="158"/>
      <c r="AA50" s="163"/>
      <c r="AB50" s="164"/>
      <c r="AC50" s="11"/>
      <c r="AD50" s="11"/>
      <c r="AE50" s="11"/>
      <c r="AF50" s="11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</row>
    <row r="51" spans="1:66" ht="18" customHeight="1">
      <c r="A51" s="157"/>
      <c r="B51" s="900"/>
      <c r="C51" s="900"/>
      <c r="D51" s="900"/>
      <c r="E51" s="900"/>
      <c r="F51" s="900"/>
      <c r="G51" s="835"/>
      <c r="H51" s="835"/>
      <c r="I51" s="835"/>
      <c r="J51" s="835"/>
      <c r="K51" s="835"/>
      <c r="L51" s="835"/>
      <c r="M51" s="835"/>
      <c r="N51" s="835"/>
      <c r="O51" s="835"/>
      <c r="P51" s="835"/>
      <c r="Q51" s="835"/>
      <c r="R51" s="835"/>
      <c r="S51" s="835"/>
      <c r="T51" s="835"/>
      <c r="U51" s="835"/>
      <c r="V51" s="835"/>
      <c r="W51" s="835"/>
      <c r="X51" s="158"/>
      <c r="Y51" s="158"/>
      <c r="Z51" s="158"/>
      <c r="AA51" s="163"/>
      <c r="AB51" s="164"/>
      <c r="AC51" s="11"/>
      <c r="AD51" s="11"/>
      <c r="AE51" s="11"/>
      <c r="AF51" s="11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</row>
    <row r="52" spans="1:66" ht="18" customHeight="1">
      <c r="A52" s="157"/>
      <c r="B52" s="900"/>
      <c r="C52" s="900"/>
      <c r="D52" s="900"/>
      <c r="E52" s="900"/>
      <c r="F52" s="900"/>
      <c r="G52" s="835"/>
      <c r="H52" s="835"/>
      <c r="I52" s="835"/>
      <c r="J52" s="835"/>
      <c r="K52" s="835"/>
      <c r="L52" s="835"/>
      <c r="M52" s="835"/>
      <c r="N52" s="835"/>
      <c r="O52" s="835"/>
      <c r="P52" s="835"/>
      <c r="Q52" s="835"/>
      <c r="R52" s="835"/>
      <c r="S52" s="835"/>
      <c r="T52" s="835"/>
      <c r="U52" s="835"/>
      <c r="V52" s="835"/>
      <c r="W52" s="835"/>
      <c r="X52" s="158"/>
      <c r="Y52" s="158"/>
      <c r="Z52" s="158"/>
      <c r="AA52" s="163"/>
      <c r="AB52" s="164"/>
      <c r="AC52" s="11"/>
      <c r="AD52" s="11"/>
      <c r="AE52" s="11"/>
      <c r="AF52" s="11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</row>
    <row r="53" spans="1:66" ht="18" customHeight="1">
      <c r="A53" s="157"/>
      <c r="B53" s="900"/>
      <c r="C53" s="900"/>
      <c r="D53" s="900"/>
      <c r="E53" s="900"/>
      <c r="F53" s="900"/>
      <c r="G53" s="835"/>
      <c r="H53" s="835"/>
      <c r="I53" s="835"/>
      <c r="J53" s="835"/>
      <c r="K53" s="835"/>
      <c r="L53" s="835"/>
      <c r="M53" s="835"/>
      <c r="N53" s="835"/>
      <c r="O53" s="835"/>
      <c r="P53" s="835"/>
      <c r="Q53" s="835"/>
      <c r="R53" s="835"/>
      <c r="S53" s="835"/>
      <c r="T53" s="835"/>
      <c r="U53" s="835"/>
      <c r="V53" s="835"/>
      <c r="W53" s="835"/>
      <c r="X53" s="158"/>
      <c r="Y53" s="158"/>
      <c r="Z53" s="158"/>
      <c r="AA53" s="163"/>
      <c r="AB53" s="164"/>
      <c r="AC53" s="11"/>
      <c r="AD53" s="11"/>
      <c r="AE53" s="11"/>
      <c r="AF53" s="11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66" ht="18" customHeight="1">
      <c r="A54" s="157"/>
      <c r="B54" s="900"/>
      <c r="C54" s="900"/>
      <c r="D54" s="900"/>
      <c r="E54" s="900"/>
      <c r="F54" s="900"/>
      <c r="G54" s="835"/>
      <c r="H54" s="835"/>
      <c r="I54" s="835"/>
      <c r="J54" s="835"/>
      <c r="K54" s="835"/>
      <c r="L54" s="835"/>
      <c r="M54" s="835"/>
      <c r="N54" s="835"/>
      <c r="O54" s="835"/>
      <c r="P54" s="835"/>
      <c r="Q54" s="835"/>
      <c r="R54" s="835"/>
      <c r="S54" s="835"/>
      <c r="T54" s="835"/>
      <c r="U54" s="835"/>
      <c r="V54" s="835"/>
      <c r="W54" s="835"/>
      <c r="X54" s="158"/>
      <c r="Y54" s="158"/>
      <c r="Z54" s="158"/>
      <c r="AA54" s="163"/>
      <c r="AB54" s="164"/>
      <c r="AC54" s="11"/>
      <c r="AD54" s="11"/>
      <c r="AE54" s="11"/>
      <c r="AF54" s="11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</row>
    <row r="55" spans="1:66" ht="18" customHeight="1">
      <c r="A55" s="157"/>
      <c r="B55" s="900"/>
      <c r="C55" s="900"/>
      <c r="D55" s="900"/>
      <c r="E55" s="900"/>
      <c r="F55" s="900"/>
      <c r="G55" s="835"/>
      <c r="H55" s="835"/>
      <c r="I55" s="835"/>
      <c r="J55" s="835"/>
      <c r="K55" s="835"/>
      <c r="L55" s="835"/>
      <c r="M55" s="835"/>
      <c r="N55" s="835"/>
      <c r="O55" s="835"/>
      <c r="P55" s="835"/>
      <c r="Q55" s="835"/>
      <c r="R55" s="835"/>
      <c r="S55" s="835"/>
      <c r="T55" s="835"/>
      <c r="U55" s="835"/>
      <c r="V55" s="835"/>
      <c r="W55" s="835"/>
      <c r="X55" s="158"/>
      <c r="Y55" s="158"/>
      <c r="Z55" s="158"/>
      <c r="AA55" s="163"/>
      <c r="AB55" s="164"/>
      <c r="AC55" s="11"/>
      <c r="AD55" s="11"/>
      <c r="AE55" s="11"/>
      <c r="AF55" s="11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56" spans="1:66" ht="18" customHeight="1">
      <c r="A56" s="157"/>
      <c r="B56" s="900"/>
      <c r="C56" s="900"/>
      <c r="D56" s="900"/>
      <c r="E56" s="900"/>
      <c r="F56" s="900"/>
      <c r="G56" s="835"/>
      <c r="H56" s="835"/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158"/>
      <c r="Y56" s="158"/>
      <c r="Z56" s="158"/>
      <c r="AA56" s="163"/>
      <c r="AB56" s="164"/>
      <c r="AC56" s="11"/>
      <c r="AD56" s="11"/>
      <c r="AE56" s="11"/>
      <c r="AF56" s="11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66" ht="18" customHeight="1">
      <c r="A57" s="157"/>
      <c r="B57" s="900"/>
      <c r="C57" s="900"/>
      <c r="D57" s="900"/>
      <c r="E57" s="900"/>
      <c r="F57" s="900"/>
      <c r="G57" s="835"/>
      <c r="H57" s="835"/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158"/>
      <c r="Y57" s="158"/>
      <c r="Z57" s="158"/>
      <c r="AA57" s="163"/>
      <c r="AB57" s="164"/>
      <c r="AC57" s="11"/>
      <c r="AD57" s="11"/>
      <c r="AE57" s="11"/>
      <c r="AF57" s="11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</row>
    <row r="58" spans="1:66" ht="51" customHeight="1">
      <c r="A58" s="912" t="s">
        <v>89</v>
      </c>
      <c r="B58" s="884" t="s">
        <v>172</v>
      </c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914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3"/>
      <c r="AO58" s="13"/>
      <c r="AP58" s="13"/>
      <c r="AQ58" s="13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  <row r="59" spans="1:66" ht="15.75" customHeight="1">
      <c r="A59" s="912"/>
      <c r="B59" s="928" t="s">
        <v>158</v>
      </c>
      <c r="C59" s="928"/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928"/>
      <c r="P59" s="928"/>
      <c r="Q59" s="928"/>
      <c r="R59" s="928"/>
      <c r="S59" s="928"/>
      <c r="T59" s="928"/>
      <c r="U59" s="928" t="s">
        <v>159</v>
      </c>
      <c r="V59" s="928"/>
      <c r="W59" s="928"/>
      <c r="X59" s="928"/>
      <c r="Y59" s="928"/>
      <c r="Z59" s="928"/>
      <c r="AA59" s="928"/>
      <c r="AB59" s="930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3"/>
      <c r="AO59" s="13"/>
      <c r="AP59" s="13"/>
      <c r="AQ59" s="13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</row>
    <row r="60" spans="1:66" ht="15.75" customHeight="1">
      <c r="A60" s="912"/>
      <c r="B60" s="929"/>
      <c r="C60" s="929"/>
      <c r="D60" s="929"/>
      <c r="E60" s="929"/>
      <c r="F60" s="929"/>
      <c r="G60" s="929"/>
      <c r="H60" s="929"/>
      <c r="I60" s="929"/>
      <c r="J60" s="929"/>
      <c r="K60" s="929"/>
      <c r="L60" s="929"/>
      <c r="M60" s="929"/>
      <c r="N60" s="929"/>
      <c r="O60" s="929"/>
      <c r="P60" s="929"/>
      <c r="Q60" s="929"/>
      <c r="R60" s="929"/>
      <c r="S60" s="929"/>
      <c r="T60" s="929"/>
      <c r="U60" s="929"/>
      <c r="V60" s="929"/>
      <c r="W60" s="929"/>
      <c r="X60" s="929"/>
      <c r="Y60" s="929"/>
      <c r="Z60" s="929"/>
      <c r="AA60" s="929"/>
      <c r="AB60" s="931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3"/>
      <c r="AO60" s="13"/>
      <c r="AP60" s="13"/>
      <c r="AQ60" s="13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</row>
    <row r="61" spans="1:66" ht="15.75" customHeight="1">
      <c r="A61" s="912"/>
      <c r="B61" s="929"/>
      <c r="C61" s="929"/>
      <c r="D61" s="929"/>
      <c r="E61" s="929"/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R61" s="929"/>
      <c r="S61" s="929"/>
      <c r="T61" s="929"/>
      <c r="U61" s="929"/>
      <c r="V61" s="929"/>
      <c r="W61" s="929"/>
      <c r="X61" s="929"/>
      <c r="Y61" s="929"/>
      <c r="Z61" s="929"/>
      <c r="AA61" s="929"/>
      <c r="AB61" s="931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3"/>
      <c r="AO61" s="13"/>
      <c r="AP61" s="13"/>
      <c r="AQ61" s="13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</row>
    <row r="62" spans="1:66" ht="15.75">
      <c r="A62" s="913" t="s">
        <v>90</v>
      </c>
      <c r="B62" s="932" t="str">
        <f>IF(L3="Заявка юридического лица","Предлагаемые поручительства учредителей (и/или иных лиц):","Предлагаемые поручительства физических лиц:")</f>
        <v>Предлагаемые поручительства учредителей (и/или иных лиц):</v>
      </c>
      <c r="C62" s="933"/>
      <c r="D62" s="933"/>
      <c r="E62" s="933"/>
      <c r="F62" s="933"/>
      <c r="G62" s="933"/>
      <c r="H62" s="933"/>
      <c r="I62" s="933"/>
      <c r="J62" s="933"/>
      <c r="K62" s="933"/>
      <c r="L62" s="933"/>
      <c r="M62" s="933"/>
      <c r="N62" s="933"/>
      <c r="O62" s="933"/>
      <c r="P62" s="933"/>
      <c r="Q62" s="933"/>
      <c r="R62" s="933"/>
      <c r="S62" s="933"/>
      <c r="T62" s="933"/>
      <c r="U62" s="933"/>
      <c r="V62" s="933"/>
      <c r="W62" s="933"/>
      <c r="X62" s="933"/>
      <c r="Y62" s="933"/>
      <c r="Z62" s="933"/>
      <c r="AA62" s="933"/>
      <c r="AB62" s="934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69"/>
      <c r="AO62" s="169"/>
      <c r="AP62" s="169"/>
      <c r="AQ62" s="169"/>
      <c r="AR62" s="8"/>
      <c r="AS62" s="170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</row>
    <row r="63" spans="1:66" ht="24" customHeight="1">
      <c r="A63" s="913"/>
      <c r="B63" s="928" t="s">
        <v>156</v>
      </c>
      <c r="C63" s="928"/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928"/>
      <c r="P63" s="928"/>
      <c r="Q63" s="928"/>
      <c r="R63" s="928"/>
      <c r="S63" s="928"/>
      <c r="T63" s="928"/>
      <c r="U63" s="923" t="s">
        <v>160</v>
      </c>
      <c r="V63" s="918"/>
      <c r="W63" s="918"/>
      <c r="X63" s="918"/>
      <c r="Y63" s="918"/>
      <c r="Z63" s="918"/>
      <c r="AA63" s="918"/>
      <c r="AB63" s="924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69"/>
      <c r="AO63" s="169"/>
      <c r="AP63" s="169"/>
      <c r="AQ63" s="169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66" ht="15.75" customHeight="1">
      <c r="A64" s="913"/>
      <c r="B64" s="929"/>
      <c r="C64" s="929"/>
      <c r="D64" s="929"/>
      <c r="E64" s="929"/>
      <c r="F64" s="929"/>
      <c r="G64" s="929"/>
      <c r="H64" s="929"/>
      <c r="I64" s="929"/>
      <c r="J64" s="929"/>
      <c r="K64" s="929"/>
      <c r="L64" s="929"/>
      <c r="M64" s="929"/>
      <c r="N64" s="929"/>
      <c r="O64" s="929"/>
      <c r="P64" s="929"/>
      <c r="Q64" s="929"/>
      <c r="R64" s="929"/>
      <c r="S64" s="929"/>
      <c r="T64" s="929"/>
      <c r="U64" s="929"/>
      <c r="V64" s="929"/>
      <c r="W64" s="929"/>
      <c r="X64" s="929"/>
      <c r="Y64" s="929"/>
      <c r="Z64" s="929"/>
      <c r="AA64" s="929"/>
      <c r="AB64" s="931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42"/>
      <c r="AO64" s="42"/>
      <c r="AP64" s="42"/>
      <c r="AQ64" s="42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</row>
    <row r="65" spans="1:66" ht="16.5" thickBot="1">
      <c r="A65" s="913"/>
      <c r="B65" s="929"/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  <c r="AB65" s="931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42"/>
      <c r="AO65" s="42"/>
      <c r="AP65" s="42"/>
      <c r="AQ65" s="42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</row>
    <row r="66" spans="1:66" ht="15.75">
      <c r="A66" s="913" t="s">
        <v>91</v>
      </c>
      <c r="B66" s="935" t="s">
        <v>157</v>
      </c>
      <c r="C66" s="936"/>
      <c r="D66" s="936"/>
      <c r="E66" s="936"/>
      <c r="F66" s="936"/>
      <c r="G66" s="936"/>
      <c r="H66" s="936"/>
      <c r="I66" s="936"/>
      <c r="J66" s="936"/>
      <c r="K66" s="936"/>
      <c r="L66" s="936"/>
      <c r="M66" s="936"/>
      <c r="N66" s="936"/>
      <c r="O66" s="936"/>
      <c r="P66" s="936"/>
      <c r="Q66" s="936"/>
      <c r="R66" s="936"/>
      <c r="S66" s="936"/>
      <c r="T66" s="936"/>
      <c r="U66" s="936"/>
      <c r="V66" s="936"/>
      <c r="W66" s="936"/>
      <c r="X66" s="936"/>
      <c r="Y66" s="936"/>
      <c r="Z66" s="936"/>
      <c r="AA66" s="936"/>
      <c r="AB66" s="937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42"/>
      <c r="AO66" s="42"/>
      <c r="AP66" s="42"/>
      <c r="AQ66" s="42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</row>
    <row r="67" spans="1:66" ht="15.75">
      <c r="A67" s="913"/>
      <c r="B67" s="917" t="s">
        <v>163</v>
      </c>
      <c r="C67" s="918"/>
      <c r="D67" s="918"/>
      <c r="E67" s="918"/>
      <c r="F67" s="919"/>
      <c r="G67" s="917" t="s">
        <v>162</v>
      </c>
      <c r="H67" s="918"/>
      <c r="I67" s="918"/>
      <c r="J67" s="918"/>
      <c r="K67" s="918"/>
      <c r="L67" s="918"/>
      <c r="M67" s="918"/>
      <c r="N67" s="918"/>
      <c r="O67" s="918"/>
      <c r="P67" s="918"/>
      <c r="Q67" s="918"/>
      <c r="R67" s="918"/>
      <c r="S67" s="918"/>
      <c r="T67" s="919"/>
      <c r="U67" s="923" t="s">
        <v>161</v>
      </c>
      <c r="V67" s="918"/>
      <c r="W67" s="918"/>
      <c r="X67" s="918"/>
      <c r="Y67" s="918"/>
      <c r="Z67" s="918"/>
      <c r="AA67" s="918"/>
      <c r="AB67" s="924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42"/>
      <c r="AO67" s="42"/>
      <c r="AP67" s="42"/>
      <c r="AQ67" s="42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</row>
    <row r="68" spans="1:66" ht="15.75">
      <c r="A68" s="913"/>
      <c r="B68" s="920"/>
      <c r="C68" s="921"/>
      <c r="D68" s="921"/>
      <c r="E68" s="921"/>
      <c r="F68" s="922"/>
      <c r="G68" s="909"/>
      <c r="H68" s="910"/>
      <c r="I68" s="910"/>
      <c r="J68" s="910"/>
      <c r="K68" s="910"/>
      <c r="L68" s="910"/>
      <c r="M68" s="910"/>
      <c r="N68" s="910"/>
      <c r="O68" s="910"/>
      <c r="P68" s="910"/>
      <c r="Q68" s="910"/>
      <c r="R68" s="910"/>
      <c r="S68" s="910"/>
      <c r="T68" s="911"/>
      <c r="U68" s="915"/>
      <c r="V68" s="915"/>
      <c r="W68" s="915"/>
      <c r="X68" s="915"/>
      <c r="Y68" s="915"/>
      <c r="Z68" s="915"/>
      <c r="AA68" s="915"/>
      <c r="AB68" s="916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42"/>
      <c r="AO68" s="42"/>
      <c r="AP68" s="42"/>
      <c r="AQ68" s="42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</row>
    <row r="69" spans="1:66" ht="15.75" customHeight="1">
      <c r="A69" s="913"/>
      <c r="B69" s="909"/>
      <c r="C69" s="910"/>
      <c r="D69" s="910"/>
      <c r="E69" s="910"/>
      <c r="F69" s="911"/>
      <c r="G69" s="909"/>
      <c r="H69" s="910"/>
      <c r="I69" s="910"/>
      <c r="J69" s="910"/>
      <c r="K69" s="910"/>
      <c r="L69" s="910"/>
      <c r="M69" s="910"/>
      <c r="N69" s="910"/>
      <c r="O69" s="910"/>
      <c r="P69" s="910"/>
      <c r="Q69" s="910"/>
      <c r="R69" s="910"/>
      <c r="S69" s="910"/>
      <c r="T69" s="911"/>
      <c r="U69" s="915"/>
      <c r="V69" s="915"/>
      <c r="W69" s="915"/>
      <c r="X69" s="915"/>
      <c r="Y69" s="915"/>
      <c r="Z69" s="915"/>
      <c r="AA69" s="915"/>
      <c r="AB69" s="916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42"/>
      <c r="AO69" s="42"/>
      <c r="AP69" s="42"/>
      <c r="AQ69" s="42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</row>
    <row r="70" spans="1:66" ht="27.75" customHeight="1">
      <c r="A70" s="849" t="s">
        <v>164</v>
      </c>
      <c r="B70" s="850"/>
      <c r="C70" s="850"/>
      <c r="D70" s="850"/>
      <c r="E70" s="850"/>
      <c r="F70" s="850"/>
      <c r="G70" s="850"/>
      <c r="H70" s="850"/>
      <c r="I70" s="850"/>
      <c r="J70" s="850"/>
      <c r="K70" s="850"/>
      <c r="L70" s="850"/>
      <c r="M70" s="850"/>
      <c r="N70" s="850"/>
      <c r="O70" s="850"/>
      <c r="P70" s="850"/>
      <c r="Q70" s="850"/>
      <c r="R70" s="850"/>
      <c r="S70" s="850"/>
      <c r="T70" s="850"/>
      <c r="U70" s="850"/>
      <c r="V70" s="850"/>
      <c r="W70" s="850"/>
      <c r="X70" s="850"/>
      <c r="Y70" s="850"/>
      <c r="Z70" s="850"/>
      <c r="AA70" s="850"/>
      <c r="AB70" s="851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42"/>
      <c r="AO70" s="42"/>
      <c r="AP70" s="42"/>
      <c r="AQ70" s="42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</row>
    <row r="71" spans="1:66" ht="41.25" customHeight="1">
      <c r="A71" s="181"/>
      <c r="B71" s="852" t="s">
        <v>217</v>
      </c>
      <c r="C71" s="852"/>
      <c r="D71" s="852"/>
      <c r="E71" s="852"/>
      <c r="F71" s="852"/>
      <c r="G71" s="187"/>
      <c r="H71" s="182"/>
      <c r="I71" s="852" t="str">
        <f>IF(L3="Заявка юридического лица","Устав","Документ, удостоверяющий личность")</f>
        <v>Устав</v>
      </c>
      <c r="J71" s="852"/>
      <c r="K71" s="852"/>
      <c r="L71" s="852"/>
      <c r="M71" s="852"/>
      <c r="N71" s="190"/>
      <c r="P71" s="852" t="str">
        <f>IF(L3="Заявка юридического лица","Документ, удостоверяющий личность руководителя"," ")</f>
        <v>Документ, удостоверяющий личность руководителя</v>
      </c>
      <c r="Q71" s="852"/>
      <c r="R71" s="852"/>
      <c r="S71" s="852"/>
      <c r="T71" s="852"/>
      <c r="U71" s="191"/>
      <c r="X71" s="182"/>
      <c r="Y71" s="182"/>
      <c r="Z71" s="182"/>
      <c r="AA71" s="182"/>
      <c r="AB71" s="183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42"/>
      <c r="AO71" s="42"/>
      <c r="AP71" s="42"/>
      <c r="AQ71" s="42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</row>
    <row r="72" spans="1:66" ht="51" customHeight="1">
      <c r="A72" s="181"/>
      <c r="B72" s="853" t="str">
        <f>IF(L3="Заявка юридического лица","Решение уполномоченного органа о назначении руководителя"," ")</f>
        <v>Решение уполномоченного органа о назначении руководителя</v>
      </c>
      <c r="C72" s="854"/>
      <c r="D72" s="854"/>
      <c r="E72" s="854"/>
      <c r="F72" s="855"/>
      <c r="G72" s="188"/>
      <c r="H72" s="184"/>
      <c r="I72" s="852" t="str">
        <f>IF(L3="Заявка юридического лица","Трудовой договор (контракт) с руководителем"," ")</f>
        <v>Трудовой договор (контракт) с руководителем</v>
      </c>
      <c r="J72" s="852"/>
      <c r="K72" s="852"/>
      <c r="L72" s="852"/>
      <c r="M72" s="852"/>
      <c r="N72" s="188"/>
      <c r="O72" s="184"/>
      <c r="P72" s="852" t="str">
        <f>IF(L3="Заявка юридического лица","Приказ о вступлении в должность руководителя"," ")</f>
        <v>Приказ о вступлении в должность руководителя</v>
      </c>
      <c r="Q72" s="852"/>
      <c r="R72" s="852"/>
      <c r="S72" s="852"/>
      <c r="T72" s="852"/>
      <c r="U72" s="192"/>
      <c r="V72" s="184"/>
      <c r="W72" s="184"/>
      <c r="X72" s="182"/>
      <c r="Y72" s="182"/>
      <c r="Z72" s="182"/>
      <c r="AA72" s="182"/>
      <c r="AB72" s="183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42"/>
      <c r="AO72" s="42"/>
      <c r="AP72" s="42"/>
      <c r="AQ72" s="42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</row>
    <row r="73" spans="1:66" ht="41.25" customHeight="1">
      <c r="A73" s="181"/>
      <c r="B73" s="906" t="str">
        <f>IF(L3="Заявка юридического лица","Доверенность иного уполномоченного лица"," ")</f>
        <v>Доверенность иного уполномоченного лица</v>
      </c>
      <c r="C73" s="907"/>
      <c r="D73" s="907"/>
      <c r="E73" s="907"/>
      <c r="F73" s="908"/>
      <c r="G73" s="189"/>
      <c r="H73" s="182"/>
      <c r="I73" s="801" t="str">
        <f>IF(L3="Заявка юридического лица","Документ, удостоверяющий личность иного уполномоченного лица"," ")</f>
        <v>Документ, удостоверяющий личность иного уполномоченного лица</v>
      </c>
      <c r="J73" s="802"/>
      <c r="K73" s="802"/>
      <c r="L73" s="802"/>
      <c r="M73" s="803"/>
      <c r="N73" s="189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3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42"/>
      <c r="AO73" s="42"/>
      <c r="AP73" s="42"/>
      <c r="AQ73" s="42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</row>
    <row r="74" spans="1:66" ht="15.75" customHeight="1">
      <c r="A74" s="944" t="s">
        <v>30</v>
      </c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6"/>
      <c r="AC74" s="42"/>
      <c r="AD74" s="42"/>
      <c r="AE74" s="42"/>
      <c r="AF74" s="42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</row>
    <row r="75" spans="1:66" ht="42" customHeight="1">
      <c r="A75" s="798" t="s">
        <v>218</v>
      </c>
      <c r="B75" s="799"/>
      <c r="C75" s="799"/>
      <c r="D75" s="799"/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  <c r="P75" s="799"/>
      <c r="Q75" s="799"/>
      <c r="R75" s="799"/>
      <c r="S75" s="799"/>
      <c r="T75" s="799"/>
      <c r="U75" s="799"/>
      <c r="V75" s="799"/>
      <c r="W75" s="799"/>
      <c r="X75" s="799"/>
      <c r="Y75" s="799"/>
      <c r="Z75" s="799"/>
      <c r="AA75" s="799"/>
      <c r="AB75" s="800"/>
      <c r="AC75" s="11"/>
      <c r="AD75" s="11"/>
      <c r="AE75" s="11"/>
      <c r="AF75" s="11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</row>
    <row r="76" spans="1:66" ht="25.5" customHeight="1">
      <c r="A76" s="941" t="s">
        <v>31</v>
      </c>
      <c r="B76" s="942"/>
      <c r="C76" s="942"/>
      <c r="D76" s="942"/>
      <c r="E76" s="942"/>
      <c r="F76" s="942"/>
      <c r="G76" s="942"/>
      <c r="H76" s="942"/>
      <c r="I76" s="942"/>
      <c r="J76" s="942"/>
      <c r="K76" s="942"/>
      <c r="L76" s="942"/>
      <c r="M76" s="942"/>
      <c r="N76" s="942"/>
      <c r="O76" s="942"/>
      <c r="P76" s="942"/>
      <c r="Q76" s="942"/>
      <c r="R76" s="942"/>
      <c r="S76" s="942"/>
      <c r="T76" s="942"/>
      <c r="U76" s="942"/>
      <c r="V76" s="942"/>
      <c r="W76" s="942"/>
      <c r="X76" s="942"/>
      <c r="Y76" s="942"/>
      <c r="Z76" s="942"/>
      <c r="AA76" s="942"/>
      <c r="AB76" s="943"/>
      <c r="AC76" s="26"/>
      <c r="AD76" s="26"/>
      <c r="AE76" s="26"/>
      <c r="AF76" s="26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</row>
    <row r="77" spans="1:66" ht="39.75" customHeight="1">
      <c r="A77" s="941" t="s">
        <v>32</v>
      </c>
      <c r="B77" s="942"/>
      <c r="C77" s="942"/>
      <c r="D77" s="942"/>
      <c r="E77" s="942"/>
      <c r="F77" s="942"/>
      <c r="G77" s="942"/>
      <c r="H77" s="942"/>
      <c r="I77" s="942"/>
      <c r="J77" s="942"/>
      <c r="K77" s="942"/>
      <c r="L77" s="942"/>
      <c r="M77" s="942"/>
      <c r="N77" s="942"/>
      <c r="O77" s="942"/>
      <c r="P77" s="942"/>
      <c r="Q77" s="942"/>
      <c r="R77" s="942"/>
      <c r="S77" s="942"/>
      <c r="T77" s="942"/>
      <c r="U77" s="942"/>
      <c r="V77" s="942"/>
      <c r="W77" s="942"/>
      <c r="X77" s="942"/>
      <c r="Y77" s="942"/>
      <c r="Z77" s="942"/>
      <c r="AA77" s="942"/>
      <c r="AB77" s="943"/>
      <c r="AC77" s="26"/>
      <c r="AD77" s="26"/>
      <c r="AE77" s="26"/>
      <c r="AF77" s="26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1:66" ht="34.5" customHeight="1">
      <c r="A78" s="938" t="s">
        <v>33</v>
      </c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40"/>
      <c r="AC78" s="26"/>
      <c r="AD78" s="26"/>
      <c r="AE78" s="26"/>
      <c r="AF78" s="26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1:66" ht="27" customHeight="1">
      <c r="A79" s="941" t="s">
        <v>34</v>
      </c>
      <c r="B79" s="942"/>
      <c r="C79" s="942"/>
      <c r="D79" s="942"/>
      <c r="E79" s="942"/>
      <c r="F79" s="942"/>
      <c r="G79" s="942"/>
      <c r="H79" s="942"/>
      <c r="I79" s="942"/>
      <c r="J79" s="942"/>
      <c r="K79" s="942"/>
      <c r="L79" s="942"/>
      <c r="M79" s="942"/>
      <c r="N79" s="942"/>
      <c r="O79" s="942"/>
      <c r="P79" s="942"/>
      <c r="Q79" s="942"/>
      <c r="R79" s="942"/>
      <c r="S79" s="942"/>
      <c r="T79" s="942"/>
      <c r="U79" s="942"/>
      <c r="V79" s="942"/>
      <c r="W79" s="942"/>
      <c r="X79" s="942"/>
      <c r="Y79" s="942"/>
      <c r="Z79" s="942"/>
      <c r="AA79" s="942"/>
      <c r="AB79" s="943"/>
      <c r="AC79" s="26"/>
      <c r="AD79" s="26"/>
      <c r="AE79" s="26"/>
      <c r="AF79" s="26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1:66" ht="15" customHeight="1">
      <c r="A80" s="938" t="s">
        <v>35</v>
      </c>
      <c r="B80" s="939"/>
      <c r="C80" s="939"/>
      <c r="D80" s="939"/>
      <c r="E80" s="939"/>
      <c r="F80" s="939"/>
      <c r="G80" s="939"/>
      <c r="H80" s="939"/>
      <c r="I80" s="939"/>
      <c r="J80" s="939"/>
      <c r="K80" s="939"/>
      <c r="L80" s="939"/>
      <c r="M80" s="939"/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39"/>
      <c r="Y80" s="939"/>
      <c r="Z80" s="939"/>
      <c r="AA80" s="939"/>
      <c r="AB80" s="940"/>
      <c r="AC80" s="26"/>
      <c r="AD80" s="26"/>
      <c r="AE80" s="26"/>
      <c r="AF80" s="26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1:55" ht="26.25" customHeight="1">
      <c r="A81" s="798" t="str">
        <f>IF(L3="Заявка юридического лица","7. Заявитель подтверждает, что органы управления избраны согласно установленной процедуре, являются легитимными, корпоративных споров между участниками нет."," ")</f>
        <v>7. Заявитель подтверждает, что органы управления избраны согласно установленной процедуре, являются легитимными, корпоративных споров между участниками нет.</v>
      </c>
      <c r="B81" s="799"/>
      <c r="C81" s="799"/>
      <c r="D81" s="799"/>
      <c r="E81" s="799"/>
      <c r="F81" s="799"/>
      <c r="G81" s="799"/>
      <c r="H81" s="799"/>
      <c r="I81" s="799"/>
      <c r="J81" s="799"/>
      <c r="K81" s="799"/>
      <c r="L81" s="799"/>
      <c r="M81" s="799"/>
      <c r="N81" s="799"/>
      <c r="O81" s="799"/>
      <c r="P81" s="799"/>
      <c r="Q81" s="799"/>
      <c r="R81" s="799"/>
      <c r="S81" s="799"/>
      <c r="T81" s="799"/>
      <c r="U81" s="799"/>
      <c r="V81" s="799"/>
      <c r="W81" s="799"/>
      <c r="X81" s="799"/>
      <c r="Y81" s="799"/>
      <c r="Z81" s="799"/>
      <c r="AA81" s="799"/>
      <c r="AB81" s="800"/>
      <c r="AC81" s="11"/>
      <c r="AD81" s="11"/>
      <c r="AE81" s="11"/>
      <c r="AF81" s="11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1:55" ht="15.75">
      <c r="A82" s="844" t="s">
        <v>145</v>
      </c>
      <c r="B82" s="841"/>
      <c r="C82" s="841"/>
      <c r="D82" s="841"/>
      <c r="E82" s="841"/>
      <c r="F82" s="841"/>
      <c r="G82" s="841"/>
      <c r="H82" s="841"/>
      <c r="I82" s="841"/>
      <c r="J82" s="841"/>
      <c r="K82" s="841"/>
      <c r="L82" s="841"/>
      <c r="M82" s="841"/>
      <c r="N82" s="33"/>
      <c r="O82" s="845"/>
      <c r="P82" s="846"/>
      <c r="Q82" s="846"/>
      <c r="R82" s="847"/>
      <c r="S82" s="33"/>
      <c r="T82" s="845"/>
      <c r="U82" s="846"/>
      <c r="V82" s="846"/>
      <c r="W82" s="846"/>
      <c r="X82" s="846"/>
      <c r="Y82" s="846"/>
      <c r="Z82" s="847"/>
      <c r="AA82" s="166"/>
      <c r="AB82" s="43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1:55" ht="13.5" customHeight="1">
      <c r="A83" s="15"/>
      <c r="B83" s="27"/>
      <c r="C83" s="27"/>
      <c r="D83" s="27"/>
      <c r="E83" s="27"/>
      <c r="F83" s="27"/>
      <c r="G83" s="27"/>
      <c r="H83" s="27"/>
      <c r="I83" s="34"/>
      <c r="J83" s="34"/>
      <c r="K83" s="34"/>
      <c r="L83" s="34"/>
      <c r="M83" s="34"/>
      <c r="N83" s="34"/>
      <c r="O83" s="848" t="s">
        <v>0</v>
      </c>
      <c r="P83" s="848"/>
      <c r="Q83" s="848"/>
      <c r="R83" s="848"/>
      <c r="S83" s="34"/>
      <c r="T83" s="848" t="s">
        <v>36</v>
      </c>
      <c r="U83" s="848"/>
      <c r="V83" s="848"/>
      <c r="W83" s="848"/>
      <c r="X83" s="848"/>
      <c r="Y83" s="848"/>
      <c r="Z83" s="848"/>
      <c r="AA83" s="166"/>
      <c r="AB83" s="43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1:55">
      <c r="A84" s="15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839" t="s">
        <v>37</v>
      </c>
      <c r="Q84" s="840"/>
      <c r="R84" s="2"/>
      <c r="S84" s="2"/>
      <c r="T84" s="2"/>
      <c r="U84" s="2"/>
      <c r="V84" s="2"/>
      <c r="W84" s="2"/>
      <c r="X84" s="2"/>
      <c r="Y84" s="2"/>
      <c r="Z84" s="2"/>
      <c r="AA84" s="2"/>
      <c r="AB84" s="21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1:55" ht="15.75">
      <c r="H85" s="841" t="s">
        <v>38</v>
      </c>
      <c r="I85" s="840"/>
      <c r="J85" s="840"/>
      <c r="K85" s="840"/>
      <c r="L85" s="840"/>
      <c r="M85" s="840"/>
      <c r="N85" s="2"/>
      <c r="O85" s="842"/>
      <c r="P85" s="842"/>
      <c r="Q85" s="842"/>
      <c r="R85" s="843"/>
      <c r="S85" s="2"/>
      <c r="T85" s="2"/>
      <c r="U85" s="2"/>
      <c r="V85" s="2"/>
      <c r="W85" s="2"/>
      <c r="X85" s="2"/>
      <c r="Y85" s="2"/>
      <c r="Z85" s="2"/>
      <c r="AA85" s="2"/>
      <c r="AB85" s="21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1:55" ht="15.75" thickBot="1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1:55">
      <c r="A87" s="16"/>
      <c r="B87" s="8"/>
      <c r="C87" s="8"/>
      <c r="D87" s="8"/>
      <c r="E87" s="8"/>
      <c r="F87" s="8"/>
      <c r="G87" s="8"/>
      <c r="H87" s="8"/>
      <c r="I87" s="8"/>
      <c r="J87" s="17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1:55">
      <c r="A88" s="1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1:55">
      <c r="A89" s="1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1:55">
      <c r="A90" s="16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1:55">
      <c r="A91" s="1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1:55">
      <c r="A92" s="16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1:55">
      <c r="A93" s="16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1:55">
      <c r="A94" s="16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1:55">
      <c r="A95" s="16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1:55">
      <c r="A96" s="16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1:55">
      <c r="A97" s="16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1:55">
      <c r="A98" s="16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1:55">
      <c r="A99" s="16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1:55">
      <c r="A100" s="16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1:55">
      <c r="A101" s="16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1:55">
      <c r="A102" s="16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1:55">
      <c r="A103" s="16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1:55">
      <c r="A104" s="1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1:55">
      <c r="A105" s="1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1:55">
      <c r="A106" s="16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1:55">
      <c r="A107" s="16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1:55">
      <c r="A108" s="16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1:55">
      <c r="A109" s="16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1:55">
      <c r="A110" s="1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1:55">
      <c r="A111" s="16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1:55">
      <c r="A112" s="16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1:55">
      <c r="A113" s="16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1:55">
      <c r="A114" s="16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1:55">
      <c r="A115" s="16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1:55">
      <c r="A116" s="1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1:55">
      <c r="A117" s="1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1:55">
      <c r="A118" s="1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</row>
    <row r="127" spans="1:55">
      <c r="C127" s="19" t="s">
        <v>14</v>
      </c>
      <c r="D127" s="19"/>
      <c r="E127" s="20" t="s">
        <v>17</v>
      </c>
      <c r="F127" s="19"/>
      <c r="G127" s="19"/>
      <c r="H127" s="19"/>
      <c r="I127" s="19"/>
      <c r="J127" s="19"/>
      <c r="K127" s="19"/>
      <c r="M127" s="19"/>
    </row>
    <row r="128" spans="1:55">
      <c r="C128" s="19" t="s">
        <v>15</v>
      </c>
      <c r="D128" s="19"/>
      <c r="E128" s="20" t="s">
        <v>16</v>
      </c>
      <c r="F128" s="19"/>
      <c r="G128" s="19"/>
      <c r="H128" s="19"/>
      <c r="I128" s="19"/>
      <c r="J128" s="19"/>
      <c r="K128" s="19"/>
      <c r="M128" s="19"/>
    </row>
    <row r="129" spans="1:13">
      <c r="E129" s="20" t="s">
        <v>18</v>
      </c>
      <c r="F129" s="19"/>
      <c r="G129" s="19"/>
      <c r="H129" s="19"/>
      <c r="I129" s="19"/>
      <c r="J129" s="19"/>
      <c r="K129" s="19"/>
      <c r="M129" s="19"/>
    </row>
    <row r="130" spans="1:13">
      <c r="E130" s="20" t="s">
        <v>19</v>
      </c>
      <c r="F130" s="19"/>
      <c r="G130" s="19"/>
      <c r="H130" s="19"/>
      <c r="I130" s="19"/>
      <c r="J130" s="19"/>
      <c r="K130" s="19"/>
      <c r="M130" s="19"/>
    </row>
    <row r="131" spans="1:13">
      <c r="A131" s="12"/>
      <c r="E131" s="20" t="s">
        <v>20</v>
      </c>
      <c r="F131" s="19"/>
      <c r="G131" s="19"/>
      <c r="H131" s="19"/>
      <c r="I131" s="19"/>
      <c r="J131" s="19"/>
      <c r="K131" s="19"/>
      <c r="M131" s="19"/>
    </row>
    <row r="132" spans="1:13">
      <c r="A132" s="12"/>
      <c r="E132" s="19"/>
      <c r="F132" s="19"/>
      <c r="G132" s="19"/>
      <c r="H132" s="19"/>
      <c r="I132" s="19"/>
      <c r="J132" s="19"/>
      <c r="K132" s="19"/>
      <c r="M132" s="19"/>
    </row>
    <row r="133" spans="1:13">
      <c r="A133" s="12"/>
      <c r="E133" s="19"/>
      <c r="F133" s="19"/>
      <c r="G133" s="19"/>
      <c r="H133" s="19"/>
      <c r="I133" s="19"/>
      <c r="J133" s="19"/>
      <c r="K133" s="19"/>
      <c r="M133" s="19"/>
    </row>
    <row r="134" spans="1:13">
      <c r="A134" s="12"/>
      <c r="E134" s="19"/>
      <c r="F134" s="19"/>
      <c r="G134" s="19"/>
      <c r="H134" s="19"/>
      <c r="I134" s="19"/>
      <c r="J134" s="19"/>
      <c r="K134" s="19"/>
      <c r="M134" s="19"/>
    </row>
    <row r="135" spans="1:13">
      <c r="A135" s="12"/>
      <c r="E135" s="19"/>
      <c r="F135" s="19"/>
      <c r="G135" s="19"/>
      <c r="H135" s="19"/>
      <c r="I135" s="19"/>
      <c r="J135" s="19"/>
      <c r="K135" s="19"/>
      <c r="M135" s="19"/>
    </row>
    <row r="136" spans="1:13">
      <c r="A136" s="12"/>
      <c r="E136" s="19"/>
      <c r="F136" s="19"/>
      <c r="G136" s="19"/>
      <c r="H136" s="19"/>
      <c r="I136" s="19"/>
      <c r="J136" s="19"/>
      <c r="K136" s="19"/>
      <c r="M136" s="19"/>
    </row>
    <row r="137" spans="1:13">
      <c r="A137" s="12"/>
      <c r="E137" s="19"/>
      <c r="F137" s="19"/>
      <c r="G137" s="19"/>
      <c r="H137" s="19"/>
      <c r="I137" s="19"/>
      <c r="J137" s="19"/>
      <c r="K137" s="19"/>
      <c r="M137" s="19"/>
    </row>
    <row r="138" spans="1:13">
      <c r="A138" s="12"/>
      <c r="E138" s="19"/>
      <c r="F138" s="19"/>
      <c r="G138" s="19"/>
      <c r="H138" s="19"/>
      <c r="I138" s="19"/>
      <c r="J138" s="19"/>
      <c r="K138" s="19"/>
      <c r="M138" s="19"/>
    </row>
    <row r="139" spans="1:13">
      <c r="A139" s="12"/>
      <c r="E139" s="19"/>
      <c r="F139" s="19"/>
      <c r="G139" s="19"/>
      <c r="H139" s="19"/>
      <c r="I139" s="19"/>
      <c r="J139" s="19"/>
      <c r="K139" s="19"/>
      <c r="M139" s="19"/>
    </row>
  </sheetData>
  <customSheetViews>
    <customSheetView guid="{4C76A25C-B731-4FF1-B62A-70E621E8081B}" scale="130" showPageBreaks="1" showGridLines="0" fitToPage="1" printArea="1" view="pageBreakPreview">
      <selection activeCell="A53" sqref="A53:AB53"/>
      <rowBreaks count="1" manualBreakCount="1">
        <brk id="51" max="27" man="1"/>
      </rowBreaks>
      <pageMargins left="0.25" right="0.25" top="0.75" bottom="0.75" header="0.3" footer="0.3"/>
      <pageSetup paperSize="9" scale="80" fitToHeight="0" orientation="portrait" r:id="rId1"/>
    </customSheetView>
  </customSheetViews>
  <mergeCells count="244">
    <mergeCell ref="A34:A47"/>
    <mergeCell ref="T83:Z83"/>
    <mergeCell ref="T82:Z82"/>
    <mergeCell ref="B59:T59"/>
    <mergeCell ref="B60:T60"/>
    <mergeCell ref="B61:T61"/>
    <mergeCell ref="U59:AB59"/>
    <mergeCell ref="U60:AB60"/>
    <mergeCell ref="U61:AB61"/>
    <mergeCell ref="B63:T63"/>
    <mergeCell ref="U63:AB63"/>
    <mergeCell ref="B64:T64"/>
    <mergeCell ref="U64:AB64"/>
    <mergeCell ref="B65:T65"/>
    <mergeCell ref="U65:AB65"/>
    <mergeCell ref="B62:AB62"/>
    <mergeCell ref="B66:AB66"/>
    <mergeCell ref="A80:AB80"/>
    <mergeCell ref="A79:AB79"/>
    <mergeCell ref="A75:AB75"/>
    <mergeCell ref="A76:AB76"/>
    <mergeCell ref="A77:AB77"/>
    <mergeCell ref="A78:AB78"/>
    <mergeCell ref="A74:AB74"/>
    <mergeCell ref="A58:A61"/>
    <mergeCell ref="A62:A65"/>
    <mergeCell ref="A66:A69"/>
    <mergeCell ref="B57:F57"/>
    <mergeCell ref="G57:P57"/>
    <mergeCell ref="Q57:W57"/>
    <mergeCell ref="B58:AB58"/>
    <mergeCell ref="U68:AB68"/>
    <mergeCell ref="U69:AB69"/>
    <mergeCell ref="B67:F67"/>
    <mergeCell ref="G67:T67"/>
    <mergeCell ref="B68:F68"/>
    <mergeCell ref="G68:T68"/>
    <mergeCell ref="U67:AB67"/>
    <mergeCell ref="I72:M72"/>
    <mergeCell ref="B73:F73"/>
    <mergeCell ref="B69:F69"/>
    <mergeCell ref="G69:T69"/>
    <mergeCell ref="B54:F54"/>
    <mergeCell ref="G54:P54"/>
    <mergeCell ref="Q54:W54"/>
    <mergeCell ref="B55:F55"/>
    <mergeCell ref="G55:P55"/>
    <mergeCell ref="Q55:W55"/>
    <mergeCell ref="B56:F56"/>
    <mergeCell ref="G56:P56"/>
    <mergeCell ref="Q56:W56"/>
    <mergeCell ref="B51:F51"/>
    <mergeCell ref="G51:P51"/>
    <mergeCell ref="Q51:W51"/>
    <mergeCell ref="B52:F52"/>
    <mergeCell ref="G52:P52"/>
    <mergeCell ref="Q52:W52"/>
    <mergeCell ref="B53:F53"/>
    <mergeCell ref="G53:P53"/>
    <mergeCell ref="Q53:W53"/>
    <mergeCell ref="B48:AB48"/>
    <mergeCell ref="B49:F49"/>
    <mergeCell ref="G49:P49"/>
    <mergeCell ref="Q49:W49"/>
    <mergeCell ref="B50:F50"/>
    <mergeCell ref="G50:P50"/>
    <mergeCell ref="Q50:W50"/>
    <mergeCell ref="B23:AB23"/>
    <mergeCell ref="P24:AB24"/>
    <mergeCell ref="P28:AB28"/>
    <mergeCell ref="P29:AB29"/>
    <mergeCell ref="P30:AB30"/>
    <mergeCell ref="B25:M25"/>
    <mergeCell ref="N25:O25"/>
    <mergeCell ref="P25:AB25"/>
    <mergeCell ref="B26:M26"/>
    <mergeCell ref="N26:O26"/>
    <mergeCell ref="P26:AB26"/>
    <mergeCell ref="B27:M27"/>
    <mergeCell ref="N27:O27"/>
    <mergeCell ref="P27:AB27"/>
    <mergeCell ref="B30:M30"/>
    <mergeCell ref="N30:O30"/>
    <mergeCell ref="Q45:U45"/>
    <mergeCell ref="I3:K3"/>
    <mergeCell ref="L3:AB3"/>
    <mergeCell ref="V4:AB4"/>
    <mergeCell ref="V47:Z47"/>
    <mergeCell ref="AA47:AB47"/>
    <mergeCell ref="B47:D47"/>
    <mergeCell ref="E47:F47"/>
    <mergeCell ref="G47:K47"/>
    <mergeCell ref="L47:P47"/>
    <mergeCell ref="Q47:U47"/>
    <mergeCell ref="V45:Z45"/>
    <mergeCell ref="AA45:AB45"/>
    <mergeCell ref="B46:D46"/>
    <mergeCell ref="E46:F46"/>
    <mergeCell ref="G46:K46"/>
    <mergeCell ref="L46:P46"/>
    <mergeCell ref="Q46:U46"/>
    <mergeCell ref="V46:Z46"/>
    <mergeCell ref="AA46:AB46"/>
    <mergeCell ref="B45:D45"/>
    <mergeCell ref="E45:F45"/>
    <mergeCell ref="G45:K45"/>
    <mergeCell ref="L45:P45"/>
    <mergeCell ref="B44:D44"/>
    <mergeCell ref="E44:F44"/>
    <mergeCell ref="G44:K44"/>
    <mergeCell ref="L44:P44"/>
    <mergeCell ref="Q44:U44"/>
    <mergeCell ref="V44:Z44"/>
    <mergeCell ref="AA44:AB44"/>
    <mergeCell ref="B43:D43"/>
    <mergeCell ref="E43:F43"/>
    <mergeCell ref="G43:K43"/>
    <mergeCell ref="L43:P43"/>
    <mergeCell ref="Q43:U43"/>
    <mergeCell ref="V43:Z43"/>
    <mergeCell ref="AA43:AB43"/>
    <mergeCell ref="E42:F42"/>
    <mergeCell ref="G42:K42"/>
    <mergeCell ref="L42:P42"/>
    <mergeCell ref="Q42:U42"/>
    <mergeCell ref="V42:Z42"/>
    <mergeCell ref="AA42:AB42"/>
    <mergeCell ref="B41:D41"/>
    <mergeCell ref="E41:F41"/>
    <mergeCell ref="G41:K41"/>
    <mergeCell ref="L41:P41"/>
    <mergeCell ref="Q41:U41"/>
    <mergeCell ref="V41:Z41"/>
    <mergeCell ref="AA41:AB41"/>
    <mergeCell ref="B42:D42"/>
    <mergeCell ref="A5:AB5"/>
    <mergeCell ref="B6:I6"/>
    <mergeCell ref="J6:AB6"/>
    <mergeCell ref="B18:Z18"/>
    <mergeCell ref="B7:AB7"/>
    <mergeCell ref="B10:O10"/>
    <mergeCell ref="P10:AB10"/>
    <mergeCell ref="B11:O11"/>
    <mergeCell ref="P11:AB11"/>
    <mergeCell ref="B14:O14"/>
    <mergeCell ref="P14:W14"/>
    <mergeCell ref="X14:AB14"/>
    <mergeCell ref="AA18:AB18"/>
    <mergeCell ref="B8:O8"/>
    <mergeCell ref="P8:AB8"/>
    <mergeCell ref="B9:O9"/>
    <mergeCell ref="B12:O12"/>
    <mergeCell ref="P12:AB12"/>
    <mergeCell ref="P16:AB16"/>
    <mergeCell ref="B17:O17"/>
    <mergeCell ref="P17:AB17"/>
    <mergeCell ref="A7:A16"/>
    <mergeCell ref="B13:O13"/>
    <mergeCell ref="P9:AB9"/>
    <mergeCell ref="B36:D36"/>
    <mergeCell ref="E36:F36"/>
    <mergeCell ref="G36:K36"/>
    <mergeCell ref="P84:Q84"/>
    <mergeCell ref="H85:M85"/>
    <mergeCell ref="O85:R85"/>
    <mergeCell ref="A82:M82"/>
    <mergeCell ref="O82:R82"/>
    <mergeCell ref="O83:R83"/>
    <mergeCell ref="A70:AB70"/>
    <mergeCell ref="B71:F71"/>
    <mergeCell ref="P72:T72"/>
    <mergeCell ref="I71:M71"/>
    <mergeCell ref="P71:T71"/>
    <mergeCell ref="B72:F72"/>
    <mergeCell ref="V39:Z39"/>
    <mergeCell ref="AA39:AB39"/>
    <mergeCell ref="B40:D40"/>
    <mergeCell ref="Q40:U40"/>
    <mergeCell ref="V40:Z40"/>
    <mergeCell ref="AA40:AB40"/>
    <mergeCell ref="B39:D39"/>
    <mergeCell ref="E40:F40"/>
    <mergeCell ref="G40:K40"/>
    <mergeCell ref="E39:F39"/>
    <mergeCell ref="G39:K39"/>
    <mergeCell ref="L39:P39"/>
    <mergeCell ref="Q39:U39"/>
    <mergeCell ref="AA37:AB37"/>
    <mergeCell ref="B37:D37"/>
    <mergeCell ref="E37:F37"/>
    <mergeCell ref="G37:K37"/>
    <mergeCell ref="L37:P37"/>
    <mergeCell ref="Q37:U37"/>
    <mergeCell ref="A81:AB81"/>
    <mergeCell ref="I73:M73"/>
    <mergeCell ref="A23:A30"/>
    <mergeCell ref="B33:AB33"/>
    <mergeCell ref="L36:P36"/>
    <mergeCell ref="Q36:U36"/>
    <mergeCell ref="V36:Z36"/>
    <mergeCell ref="V37:Z37"/>
    <mergeCell ref="AA36:AB36"/>
    <mergeCell ref="G35:K35"/>
    <mergeCell ref="L35:P35"/>
    <mergeCell ref="Q35:U35"/>
    <mergeCell ref="V35:Z35"/>
    <mergeCell ref="L40:P40"/>
    <mergeCell ref="B34:AB34"/>
    <mergeCell ref="B35:D35"/>
    <mergeCell ref="E35:F35"/>
    <mergeCell ref="B38:D38"/>
    <mergeCell ref="E38:F38"/>
    <mergeCell ref="G38:K38"/>
    <mergeCell ref="L38:P38"/>
    <mergeCell ref="Q38:U38"/>
    <mergeCell ref="V38:Z38"/>
    <mergeCell ref="AA38:AB38"/>
    <mergeCell ref="B22:Y22"/>
    <mergeCell ref="Z22:AB22"/>
    <mergeCell ref="B29:M29"/>
    <mergeCell ref="N29:O29"/>
    <mergeCell ref="B24:M24"/>
    <mergeCell ref="N24:O24"/>
    <mergeCell ref="B32:Y32"/>
    <mergeCell ref="B31:Y31"/>
    <mergeCell ref="Z31:AB31"/>
    <mergeCell ref="Z32:AB32"/>
    <mergeCell ref="B28:M28"/>
    <mergeCell ref="N28:O28"/>
    <mergeCell ref="P13:AB13"/>
    <mergeCell ref="B16:O16"/>
    <mergeCell ref="B20:D20"/>
    <mergeCell ref="E20:H20"/>
    <mergeCell ref="I20:K20"/>
    <mergeCell ref="B15:O15"/>
    <mergeCell ref="P15:W15"/>
    <mergeCell ref="X15:AB15"/>
    <mergeCell ref="A20:A21"/>
    <mergeCell ref="L20:O20"/>
    <mergeCell ref="P20:T20"/>
    <mergeCell ref="B19:K19"/>
    <mergeCell ref="L19:AB19"/>
    <mergeCell ref="U20:AB20"/>
    <mergeCell ref="B21:AB21"/>
  </mergeCells>
  <conditionalFormatting sqref="I73:N73 B73:G73">
    <cfRule type="expression" dxfId="48" priority="20">
      <formula>$P$71=" "</formula>
    </cfRule>
  </conditionalFormatting>
  <conditionalFormatting sqref="B72:G72 I72:N72">
    <cfRule type="expression" dxfId="47" priority="19">
      <formula>$P$71=" "</formula>
    </cfRule>
  </conditionalFormatting>
  <conditionalFormatting sqref="P71:U72">
    <cfRule type="expression" dxfId="46" priority="18">
      <formula>$P$71=" "</formula>
    </cfRule>
  </conditionalFormatting>
  <conditionalFormatting sqref="L36:P36">
    <cfRule type="cellIs" dxfId="45" priority="16" operator="equal">
      <formula>" "</formula>
    </cfRule>
  </conditionalFormatting>
  <conditionalFormatting sqref="L37:P39 L42:Z47">
    <cfRule type="cellIs" dxfId="44" priority="15" operator="equal">
      <formula>" "</formula>
    </cfRule>
  </conditionalFormatting>
  <conditionalFormatting sqref="V36:Z39">
    <cfRule type="containsBlanks" dxfId="43" priority="14">
      <formula>LEN(TRIM(V36))=0</formula>
    </cfRule>
  </conditionalFormatting>
  <conditionalFormatting sqref="L40:P41">
    <cfRule type="containsText" dxfId="42" priority="2" operator="containsText" text="краткосрочные активы">
      <formula>NOT(ISERROR(SEARCH("краткосрочные активы",L40)))</formula>
    </cfRule>
    <cfRule type="cellIs" dxfId="41" priority="13" operator="equal">
      <formula>" "</formula>
    </cfRule>
  </conditionalFormatting>
  <conditionalFormatting sqref="V40:Z41">
    <cfRule type="containsBlanks" dxfId="40" priority="12">
      <formula>LEN(TRIM(V40))=0</formula>
    </cfRule>
  </conditionalFormatting>
  <conditionalFormatting sqref="L40:P41 V40:Z41">
    <cfRule type="cellIs" dxfId="39" priority="6" operator="equal">
      <formula>"   "</formula>
    </cfRule>
    <cfRule type="containsBlanks" dxfId="38" priority="11">
      <formula>LEN(TRIM(L40))=0</formula>
    </cfRule>
  </conditionalFormatting>
  <conditionalFormatting sqref="V40:Z41">
    <cfRule type="cellIs" dxfId="37" priority="10" operator="equal">
      <formula>"тыс. BYN"</formula>
    </cfRule>
  </conditionalFormatting>
  <conditionalFormatting sqref="V41:Z41">
    <cfRule type="cellIs" dxfId="36" priority="9" operator="equal">
      <formula>"тыс. BYN"</formula>
    </cfRule>
  </conditionalFormatting>
  <conditionalFormatting sqref="L40:P41">
    <cfRule type="cellIs" dxfId="35" priority="8" operator="equal">
      <formula>"Краткосрочные активы"</formula>
    </cfRule>
  </conditionalFormatting>
  <conditionalFormatting sqref="L41:P41">
    <cfRule type="cellIs" dxfId="34" priority="7" operator="equal">
      <formula>"Краткосрочные активы на предыдущую квартальную дату"</formula>
    </cfRule>
  </conditionalFormatting>
  <conditionalFormatting sqref="L40:P40">
    <cfRule type="cellIs" dxfId="33" priority="5" operator="equal">
      <formula>"Чистый доход за последний отчетный год"</formula>
    </cfRule>
  </conditionalFormatting>
  <conditionalFormatting sqref="Q41:U41">
    <cfRule type="expression" dxfId="32" priority="1">
      <formula>$L$40="Чистый доход за последний отчетный год"</formula>
    </cfRule>
    <cfRule type="expression" dxfId="31" priority="4">
      <formula>AND($L$41=" ",$L$40=" ")</formula>
    </cfRule>
  </conditionalFormatting>
  <conditionalFormatting sqref="Q40:U40">
    <cfRule type="expression" dxfId="30" priority="3">
      <formula>$L$40=" "</formula>
    </cfRule>
  </conditionalFormatting>
  <dataValidations count="11">
    <dataValidation type="list" allowBlank="1" showInputMessage="1" showErrorMessage="1" sqref="AA18:AB18">
      <formula1>"да, нет"</formula1>
    </dataValidation>
    <dataValidation type="list" allowBlank="1" showInputMessage="1" showErrorMessage="1" sqref="Z31:Z32 Z22">
      <formula1>Да</formula1>
    </dataValidation>
    <dataValidation type="list" allowBlank="1" showInputMessage="1" showErrorMessage="1" sqref="P8:AB8">
      <formula1>Продукты</formula1>
    </dataValidation>
    <dataValidation type="list" allowBlank="1" showInputMessage="1" showErrorMessage="1" sqref="L3">
      <formula1>"Заявка индивидуального предпринимателя,Заявка юридического лица"</formula1>
    </dataValidation>
    <dataValidation type="list" allowBlank="1" showInputMessage="1" showErrorMessage="1" sqref="N25:O30">
      <formula1>"BYN,USD,EUR,RUB"</formula1>
    </dataValidation>
    <dataValidation type="list" allowBlank="1" showInputMessage="1" showErrorMessage="1" sqref="AC64:AM65 AC60:AM61">
      <formula1>"учредитель, директор, бенефициарный собственник"</formula1>
    </dataValidation>
    <dataValidation type="list" allowBlank="1" showInputMessage="1" showErrorMessage="1" sqref="U60:AB61">
      <formula1>"экономическая,юридическая,экономическая+юридическая"</formula1>
    </dataValidation>
    <dataValidation type="list" allowBlank="1" showInputMessage="1" showErrorMessage="1" sqref="U64:AB65">
      <formula1>"учредитель,третье лицо"</formula1>
    </dataValidation>
    <dataValidation type="list" allowBlank="1" showInputMessage="1" showErrorMessage="1" sqref="B69:F69">
      <formula1>"автотранспорт,оборудование,комменрческая недвижимость,товары в обороте,права по договору,гарантийный депозит"</formula1>
    </dataValidation>
    <dataValidation type="list" allowBlank="1" showInputMessage="1" showErrorMessage="1" sqref="B68:F68">
      <formula1>"автотранспорт,оборудование,коммерческая недвижимость,товары в обороте,права по договору,гарантийный депозит"</formula1>
    </dataValidation>
    <dataValidation type="list" allowBlank="1" showInputMessage="1" showErrorMessage="1" sqref="B36:D36">
      <formula1>"январь,февраль,март,апрель,май,июнь,июль,август,сентябрь,октябрь,ноябрь,декабрь"</formula1>
    </dataValidation>
  </dataValidations>
  <pageMargins left="0.25" right="0.25" top="0.75" bottom="0.75" header="0.3" footer="0.3"/>
  <pageSetup paperSize="9" scale="79" fitToHeight="0" orientation="portrait" r:id="rId2"/>
  <rowBreaks count="1" manualBreakCount="1">
    <brk id="45" max="2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70</xdr:row>
                    <xdr:rowOff>142875</xdr:rowOff>
                  </from>
                  <to>
                    <xdr:col>6</xdr:col>
                    <xdr:colOff>228600</xdr:colOff>
                    <xdr:row>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71</xdr:row>
                    <xdr:rowOff>142875</xdr:rowOff>
                  </from>
                  <to>
                    <xdr:col>6</xdr:col>
                    <xdr:colOff>219075</xdr:colOff>
                    <xdr:row>71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72</xdr:row>
                    <xdr:rowOff>142875</xdr:rowOff>
                  </from>
                  <to>
                    <xdr:col>6</xdr:col>
                    <xdr:colOff>219075</xdr:colOff>
                    <xdr:row>72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70</xdr:row>
                    <xdr:rowOff>142875</xdr:rowOff>
                  </from>
                  <to>
                    <xdr:col>13</xdr:col>
                    <xdr:colOff>238125</xdr:colOff>
                    <xdr:row>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13</xdr:col>
                    <xdr:colOff>47625</xdr:colOff>
                    <xdr:row>71</xdr:row>
                    <xdr:rowOff>142875</xdr:rowOff>
                  </from>
                  <to>
                    <xdr:col>13</xdr:col>
                    <xdr:colOff>238125</xdr:colOff>
                    <xdr:row>71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 macro="[0]!Лист15.HideByConditionalFormattingColor">
                <anchor moveWithCells="1">
                  <from>
                    <xdr:col>20</xdr:col>
                    <xdr:colOff>28575</xdr:colOff>
                    <xdr:row>70</xdr:row>
                    <xdr:rowOff>142875</xdr:rowOff>
                  </from>
                  <to>
                    <xdr:col>20</xdr:col>
                    <xdr:colOff>219075</xdr:colOff>
                    <xdr:row>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71</xdr:row>
                    <xdr:rowOff>142875</xdr:rowOff>
                  </from>
                  <to>
                    <xdr:col>20</xdr:col>
                    <xdr:colOff>219075</xdr:colOff>
                    <xdr:row>71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13</xdr:col>
                    <xdr:colOff>28575</xdr:colOff>
                    <xdr:row>72</xdr:row>
                    <xdr:rowOff>142875</xdr:rowOff>
                  </from>
                  <to>
                    <xdr:col>13</xdr:col>
                    <xdr:colOff>219075</xdr:colOff>
                    <xdr:row>72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INDIRECT(Лист2!$E$2)</xm:f>
          </x14:formula1>
          <xm:sqref>P9:AB9</xm:sqref>
        </x14:dataValidation>
        <x14:dataValidation type="list" allowBlank="1" showInputMessage="1" showErrorMessage="1">
          <x14:formula1>
            <xm:f>INDIRECT(Лист2!$T$2)</xm:f>
          </x14:formula1>
          <xm:sqref>P12:AB12</xm:sqref>
        </x14:dataValidation>
        <x14:dataValidation type="list" operator="lessThanOrEqual" allowBlank="1" showInputMessage="1" showErrorMessage="1">
          <x14:formula1>
            <xm:f>INDIRECT(Лист2!$AD$2)</xm:f>
          </x14:formula1>
          <xm:sqref>P14:W14</xm:sqref>
        </x14:dataValidation>
        <x14:dataValidation type="list" operator="lessThanOrEqual" allowBlank="1" showInputMessage="1" showErrorMessage="1">
          <x14:formula1>
            <xm:f>INDIRECT(Лист2!$AN$2)</xm:f>
          </x14:formula1>
          <xm:sqref>P15:W15</xm:sqref>
        </x14:dataValidation>
        <x14:dataValidation type="list" allowBlank="1" showInputMessage="1" showErrorMessage="1">
          <x14:formula1>
            <xm:f>INDIRECT(Лист2!$M$2)</xm:f>
          </x14:formula1>
          <xm:sqref>P11:AB11</xm:sqref>
        </x14:dataValidation>
        <x14:dataValidation type="list" allowBlank="1" showInputMessage="1" showErrorMessage="1">
          <x14:formula1>
            <xm:f>INDIRECT(Лист2!$AU$2)</xm:f>
          </x14:formula1>
          <xm:sqref>P16:AB16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/>
  <dimension ref="A1:AY133"/>
  <sheetViews>
    <sheetView showGridLines="0" view="pageBreakPreview" zoomScale="120" zoomScaleNormal="120" zoomScaleSheetLayoutView="120" zoomScalePageLayoutView="25" workbookViewId="0"/>
  </sheetViews>
  <sheetFormatPr defaultColWidth="2.5703125" defaultRowHeight="12.75"/>
  <cols>
    <col min="1" max="1" width="3.28515625" style="126" customWidth="1"/>
    <col min="2" max="2" width="1.85546875" style="52" customWidth="1"/>
    <col min="3" max="3" width="2.85546875" style="52" customWidth="1"/>
    <col min="4" max="23" width="2.7109375" style="52" customWidth="1"/>
    <col min="24" max="24" width="5" style="52" customWidth="1"/>
    <col min="25" max="35" width="2.7109375" style="52" customWidth="1"/>
    <col min="36" max="36" width="0.5703125" style="52" customWidth="1"/>
    <col min="37" max="37" width="0.5703125" style="51" customWidth="1"/>
    <col min="38" max="38" width="1.140625" style="51" customWidth="1"/>
    <col min="39" max="51" width="2.5703125" style="51" customWidth="1"/>
    <col min="52" max="16384" width="2.5703125" style="52"/>
  </cols>
  <sheetData>
    <row r="1" spans="1:51" ht="62.25" customHeight="1">
      <c r="A1" s="49"/>
      <c r="B1" s="50"/>
      <c r="C1" s="50"/>
      <c r="D1" s="50"/>
      <c r="E1" s="50"/>
      <c r="F1" s="50"/>
      <c r="G1" s="50"/>
      <c r="H1" s="50"/>
      <c r="I1" s="968" t="s">
        <v>305</v>
      </c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</row>
    <row r="2" spans="1:51" ht="23.25" customHeight="1">
      <c r="A2" s="970" t="s">
        <v>60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  <c r="Z2" s="970"/>
      <c r="AA2" s="970"/>
      <c r="AB2" s="970"/>
      <c r="AC2" s="970"/>
      <c r="AD2" s="970"/>
      <c r="AE2" s="970"/>
      <c r="AF2" s="970"/>
      <c r="AG2" s="970"/>
      <c r="AH2" s="970"/>
      <c r="AI2" s="970"/>
      <c r="AJ2" s="970"/>
      <c r="AK2" s="970"/>
      <c r="AL2" s="53"/>
    </row>
    <row r="3" spans="1:51" ht="2.85" hidden="1" customHeight="1">
      <c r="A3" s="54"/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51" ht="34.5" customHeight="1">
      <c r="A4" s="971" t="s">
        <v>306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56"/>
      <c r="AK4" s="56"/>
    </row>
    <row r="5" spans="1:51" s="60" customFormat="1" ht="9.75" customHeight="1">
      <c r="A5" s="57"/>
      <c r="B5" s="57"/>
      <c r="C5" s="57"/>
      <c r="D5" s="57"/>
      <c r="E5" s="57"/>
      <c r="F5" s="57"/>
      <c r="G5" s="972" t="s">
        <v>61</v>
      </c>
      <c r="H5" s="972"/>
      <c r="I5" s="972"/>
      <c r="J5" s="972"/>
      <c r="K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  <c r="AA5" s="972"/>
      <c r="AB5" s="972"/>
      <c r="AC5" s="972"/>
      <c r="AD5" s="972"/>
      <c r="AE5" s="972"/>
      <c r="AF5" s="972"/>
      <c r="AG5" s="972"/>
      <c r="AH5" s="972"/>
      <c r="AI5" s="972"/>
      <c r="AJ5" s="58"/>
      <c r="AK5" s="58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1" ht="18.75" customHeight="1">
      <c r="A6" s="61" t="s">
        <v>62</v>
      </c>
      <c r="B6" s="56"/>
      <c r="C6" s="56"/>
      <c r="D6" s="56"/>
      <c r="E6" s="56"/>
      <c r="F6" s="56"/>
      <c r="G6" s="959"/>
      <c r="H6" s="959"/>
      <c r="I6" s="959"/>
      <c r="J6" s="959"/>
      <c r="K6" s="959"/>
      <c r="L6" s="959"/>
      <c r="M6" s="959"/>
      <c r="N6" s="959"/>
      <c r="O6" s="959"/>
      <c r="P6" s="959"/>
      <c r="Q6" s="959"/>
      <c r="R6" s="959"/>
      <c r="S6" s="959"/>
      <c r="T6" s="959"/>
      <c r="U6" s="959"/>
      <c r="V6" s="959"/>
      <c r="W6" s="959"/>
      <c r="X6" s="959"/>
      <c r="Y6" s="959"/>
      <c r="Z6" s="959"/>
      <c r="AA6" s="959"/>
      <c r="AB6" s="959"/>
      <c r="AC6" s="959"/>
      <c r="AD6" s="959"/>
      <c r="AE6" s="959"/>
      <c r="AF6" s="959"/>
      <c r="AG6" s="959"/>
      <c r="AH6" s="959"/>
      <c r="AI6" s="959"/>
      <c r="AJ6" s="56"/>
      <c r="AK6" s="56"/>
    </row>
    <row r="7" spans="1:51" ht="3.2" customHeight="1">
      <c r="A7" s="6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51" ht="15.75" customHeight="1">
      <c r="A8" s="61" t="s">
        <v>63</v>
      </c>
      <c r="B8" s="56"/>
      <c r="C8" s="56"/>
      <c r="D8" s="56"/>
      <c r="E8" s="56"/>
      <c r="F8" s="56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59"/>
      <c r="S8" s="959"/>
      <c r="T8" s="959"/>
      <c r="U8" s="959"/>
      <c r="V8" s="959"/>
      <c r="W8" s="959"/>
      <c r="X8" s="959"/>
      <c r="Y8" s="959"/>
      <c r="Z8" s="959"/>
      <c r="AA8" s="959"/>
      <c r="AB8" s="959"/>
      <c r="AC8" s="959"/>
      <c r="AD8" s="959"/>
      <c r="AE8" s="959"/>
      <c r="AF8" s="959"/>
      <c r="AG8" s="959"/>
      <c r="AH8" s="959"/>
      <c r="AI8" s="959"/>
      <c r="AJ8" s="56"/>
      <c r="AK8" s="56"/>
    </row>
    <row r="9" spans="1:51" ht="4.7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</row>
    <row r="10" spans="1:51" ht="17.25" customHeight="1">
      <c r="A10" s="61" t="s">
        <v>64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51" ht="3.2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56"/>
      <c r="AK11" s="56"/>
    </row>
    <row r="12" spans="1:51" ht="15.75" customHeight="1">
      <c r="A12" s="61"/>
      <c r="B12" s="960"/>
      <c r="C12" s="961"/>
      <c r="D12" s="961"/>
      <c r="E12" s="961"/>
      <c r="F12" s="961"/>
      <c r="G12" s="64"/>
      <c r="H12" s="959"/>
      <c r="I12" s="961"/>
      <c r="J12" s="961"/>
      <c r="K12" s="961"/>
      <c r="L12" s="961"/>
      <c r="M12" s="961"/>
      <c r="N12" s="961"/>
      <c r="O12" s="961"/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A12" s="961"/>
      <c r="AB12" s="961"/>
      <c r="AC12" s="961"/>
      <c r="AD12" s="961"/>
      <c r="AE12" s="961"/>
      <c r="AF12" s="961"/>
      <c r="AG12" s="961"/>
      <c r="AH12" s="961"/>
      <c r="AI12" s="961"/>
      <c r="AJ12" s="56"/>
      <c r="AK12" s="56"/>
    </row>
    <row r="13" spans="1:51" ht="17.25" customHeight="1">
      <c r="A13" s="61"/>
      <c r="B13" s="962" t="s">
        <v>65</v>
      </c>
      <c r="C13" s="963"/>
      <c r="D13" s="963"/>
      <c r="E13" s="963"/>
      <c r="F13" s="963"/>
      <c r="G13" s="65"/>
      <c r="H13" s="964" t="s">
        <v>66</v>
      </c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56"/>
      <c r="AK13" s="56"/>
    </row>
    <row r="14" spans="1:51" ht="3.2" customHeight="1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51" s="70" customFormat="1" ht="2.2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965"/>
      <c r="T15" s="965"/>
      <c r="U15" s="965"/>
      <c r="V15" s="965"/>
      <c r="W15" s="67"/>
      <c r="X15" s="67"/>
      <c r="Y15" s="67"/>
      <c r="Z15" s="67"/>
      <c r="AA15" s="67"/>
      <c r="AB15" s="67"/>
      <c r="AC15" s="67"/>
      <c r="AD15" s="67"/>
      <c r="AE15" s="67"/>
      <c r="AF15" s="965"/>
      <c r="AG15" s="965"/>
      <c r="AH15" s="965"/>
      <c r="AI15" s="965"/>
      <c r="AJ15" s="68"/>
      <c r="AK15" s="68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</row>
    <row r="16" spans="1:51" ht="22.5" customHeight="1">
      <c r="A16" s="61" t="s">
        <v>67</v>
      </c>
      <c r="B16" s="63"/>
      <c r="C16" s="63"/>
      <c r="D16" s="63"/>
      <c r="E16" s="63"/>
      <c r="F16" s="63"/>
      <c r="G16" s="71"/>
      <c r="H16" s="72"/>
      <c r="I16" s="72" t="s">
        <v>68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56"/>
      <c r="AK16" s="56"/>
    </row>
    <row r="17" spans="1:51" ht="21" customHeight="1">
      <c r="A17" s="74" t="s">
        <v>69</v>
      </c>
      <c r="B17" s="56"/>
      <c r="C17" s="56"/>
      <c r="D17" s="56"/>
      <c r="E17" s="56"/>
      <c r="F17" s="56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  <c r="T17" s="959"/>
      <c r="U17" s="959"/>
      <c r="V17" s="959"/>
      <c r="W17" s="959"/>
      <c r="X17" s="959"/>
      <c r="Y17" s="56"/>
      <c r="Z17" s="959"/>
      <c r="AA17" s="959"/>
      <c r="AB17" s="959"/>
      <c r="AC17" s="959"/>
      <c r="AD17" s="959"/>
      <c r="AE17" s="959"/>
      <c r="AF17" s="959"/>
      <c r="AG17" s="959"/>
      <c r="AH17" s="959"/>
      <c r="AI17" s="959"/>
      <c r="AJ17" s="56"/>
      <c r="AK17" s="56"/>
    </row>
    <row r="18" spans="1:51" s="78" customFormat="1">
      <c r="A18" s="75"/>
      <c r="B18" s="76"/>
      <c r="C18" s="76"/>
      <c r="D18" s="76"/>
      <c r="E18" s="76"/>
      <c r="F18" s="77"/>
      <c r="G18" s="966" t="s">
        <v>70</v>
      </c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77"/>
      <c r="Z18" s="966" t="s">
        <v>71</v>
      </c>
      <c r="AA18" s="966"/>
      <c r="AB18" s="966"/>
      <c r="AC18" s="966"/>
      <c r="AD18" s="966"/>
      <c r="AE18" s="966"/>
      <c r="AF18" s="966"/>
      <c r="AG18" s="966"/>
      <c r="AH18" s="966"/>
      <c r="AI18" s="966"/>
      <c r="AJ18" s="77"/>
      <c r="AK18" s="77"/>
    </row>
    <row r="19" spans="1:51" s="82" customFormat="1" ht="3.2" customHeight="1">
      <c r="A19" s="75"/>
      <c r="B19" s="76"/>
      <c r="C19" s="76"/>
      <c r="D19" s="76"/>
      <c r="E19" s="76"/>
      <c r="F19" s="76"/>
      <c r="G19" s="79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76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76"/>
      <c r="AK19" s="76"/>
    </row>
    <row r="20" spans="1:51" ht="15.75" customHeight="1">
      <c r="A20" s="74" t="s">
        <v>72</v>
      </c>
      <c r="B20" s="79"/>
      <c r="C20" s="79"/>
      <c r="D20" s="79"/>
      <c r="E20" s="79"/>
      <c r="F20" s="79"/>
      <c r="G20" s="967"/>
      <c r="H20" s="967"/>
      <c r="I20" s="967"/>
      <c r="J20" s="967"/>
      <c r="K20" s="967"/>
      <c r="L20" s="967"/>
      <c r="M20" s="967"/>
      <c r="N20" s="967"/>
      <c r="O20" s="967"/>
      <c r="P20" s="967"/>
      <c r="Q20" s="967"/>
      <c r="R20" s="967"/>
      <c r="S20" s="967"/>
      <c r="T20" s="967"/>
      <c r="U20" s="967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7"/>
      <c r="AI20" s="967"/>
      <c r="AJ20" s="79"/>
      <c r="AK20" s="79"/>
    </row>
    <row r="21" spans="1:51" ht="3.2" hidden="1" customHeight="1">
      <c r="A21" s="83"/>
      <c r="B21" s="79"/>
      <c r="C21" s="79"/>
      <c r="D21" s="79"/>
      <c r="E21" s="79"/>
      <c r="F21" s="79"/>
      <c r="G21" s="79"/>
      <c r="H21" s="80"/>
      <c r="I21" s="79"/>
      <c r="J21" s="79"/>
      <c r="K21" s="79"/>
      <c r="L21" s="79"/>
      <c r="M21" s="79"/>
      <c r="N21" s="80"/>
      <c r="O21" s="79"/>
      <c r="P21" s="79"/>
      <c r="Q21" s="79"/>
      <c r="R21" s="79"/>
      <c r="S21" s="79"/>
      <c r="T21" s="79"/>
      <c r="U21" s="79"/>
      <c r="V21" s="79"/>
      <c r="W21" s="79"/>
      <c r="X21" s="80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56"/>
    </row>
    <row r="22" spans="1:51" ht="15" customHeight="1">
      <c r="A22" s="61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51" s="85" customFormat="1" ht="8.2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48"/>
    </row>
    <row r="24" spans="1:51" s="85" customFormat="1" ht="8.2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48"/>
    </row>
    <row r="25" spans="1:51" s="93" customFormat="1" ht="13.7" hidden="1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0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91"/>
      <c r="AL25" s="92"/>
      <c r="AM25" s="84"/>
    </row>
    <row r="26" spans="1:51" ht="27" customHeight="1">
      <c r="A26" s="94"/>
      <c r="B26" s="95" t="s">
        <v>73</v>
      </c>
      <c r="C26" s="96"/>
      <c r="D26" s="96"/>
      <c r="E26" s="96"/>
      <c r="F26" s="97"/>
      <c r="G26" s="95"/>
      <c r="H26" s="96"/>
      <c r="I26" s="96"/>
      <c r="J26" s="96"/>
      <c r="K26" s="96"/>
      <c r="L26" s="96"/>
      <c r="M26" s="96"/>
      <c r="N26" s="96"/>
      <c r="O26" s="96"/>
      <c r="P26" s="95" t="s">
        <v>74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8"/>
      <c r="AK26" s="91"/>
      <c r="AL26" s="9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</row>
    <row r="27" spans="1:51" s="100" customFormat="1" ht="6.4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51" s="100" customFormat="1" ht="0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51" s="93" customFormat="1" ht="20.25" customHeight="1">
      <c r="A29" s="101" t="s">
        <v>75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91"/>
      <c r="AL29" s="84"/>
      <c r="AM29" s="84"/>
    </row>
    <row r="30" spans="1:51" s="93" customFormat="1" ht="21" customHeight="1">
      <c r="A30" s="104"/>
      <c r="B30" s="91"/>
      <c r="C30" s="91"/>
      <c r="D30" s="91"/>
      <c r="E30" s="91"/>
      <c r="F30" s="105" t="s">
        <v>76</v>
      </c>
      <c r="G30" s="954"/>
      <c r="H30" s="954"/>
      <c r="I30" s="954"/>
      <c r="J30" s="954"/>
      <c r="K30" s="954"/>
      <c r="L30" s="954"/>
      <c r="M30" s="954"/>
      <c r="N30" s="954"/>
      <c r="O30" s="91"/>
      <c r="P30" s="91"/>
      <c r="Q30" s="105" t="s">
        <v>77</v>
      </c>
      <c r="R30" s="954"/>
      <c r="S30" s="954"/>
      <c r="T30" s="954"/>
      <c r="U30" s="954"/>
      <c r="V30" s="954"/>
      <c r="W30" s="954"/>
      <c r="X30" s="954"/>
      <c r="Y30" s="954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7"/>
      <c r="AK30" s="108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</row>
    <row r="31" spans="1:51" s="93" customFormat="1" ht="21" customHeight="1">
      <c r="A31" s="104"/>
      <c r="B31" s="91"/>
      <c r="C31" s="91"/>
      <c r="D31" s="91"/>
      <c r="E31" s="91"/>
      <c r="F31" s="105" t="s">
        <v>78</v>
      </c>
      <c r="G31" s="954"/>
      <c r="H31" s="954"/>
      <c r="I31" s="954"/>
      <c r="J31" s="954"/>
      <c r="K31" s="954"/>
      <c r="L31" s="954"/>
      <c r="M31" s="954"/>
      <c r="N31" s="954"/>
      <c r="O31" s="91"/>
      <c r="P31" s="91"/>
      <c r="Q31" s="105" t="s">
        <v>79</v>
      </c>
      <c r="R31" s="955"/>
      <c r="S31" s="956"/>
      <c r="T31" s="956"/>
      <c r="U31" s="956"/>
      <c r="V31" s="956"/>
      <c r="W31" s="956"/>
      <c r="X31" s="956"/>
      <c r="Y31" s="956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7"/>
      <c r="AK31" s="108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</row>
    <row r="32" spans="1:51" ht="6.75" customHeight="1">
      <c r="A32" s="110"/>
      <c r="B32" s="90"/>
      <c r="C32" s="90"/>
      <c r="D32" s="90"/>
      <c r="E32" s="90"/>
      <c r="F32" s="111"/>
      <c r="G32" s="112"/>
      <c r="H32" s="113"/>
      <c r="I32" s="113"/>
      <c r="J32" s="113"/>
      <c r="K32" s="113"/>
      <c r="L32" s="113"/>
      <c r="M32" s="113"/>
      <c r="N32" s="113"/>
      <c r="O32" s="90"/>
      <c r="P32" s="90"/>
      <c r="Q32" s="111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K32" s="108"/>
    </row>
    <row r="33" spans="1:51">
      <c r="A33" s="115"/>
      <c r="B33" s="115"/>
      <c r="C33" s="115"/>
      <c r="D33" s="116"/>
      <c r="E33" s="116"/>
      <c r="F33" s="117"/>
      <c r="G33" s="108"/>
      <c r="H33" s="108"/>
      <c r="I33" s="108"/>
      <c r="J33" s="108"/>
      <c r="K33" s="108"/>
      <c r="L33" s="108"/>
      <c r="M33" s="108"/>
      <c r="N33" s="108"/>
      <c r="O33" s="116"/>
      <c r="P33" s="116"/>
      <c r="Q33" s="11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</row>
    <row r="34" spans="1:51" ht="22.5" customHeight="1">
      <c r="A34" s="118" t="s">
        <v>307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0"/>
      <c r="N34" s="90"/>
      <c r="O34" s="90"/>
      <c r="P34" s="90"/>
      <c r="Q34" s="90"/>
      <c r="R34" s="91"/>
      <c r="S34" s="957"/>
      <c r="T34" s="957"/>
      <c r="U34" s="957"/>
      <c r="V34" s="957"/>
      <c r="W34" s="957"/>
      <c r="X34" s="957"/>
      <c r="Y34" s="957"/>
      <c r="Z34" s="957"/>
      <c r="AA34" s="957"/>
      <c r="AB34" s="957"/>
      <c r="AC34" s="91"/>
      <c r="AD34" s="958"/>
      <c r="AE34" s="957"/>
      <c r="AF34" s="957"/>
      <c r="AG34" s="957"/>
      <c r="AH34" s="957"/>
      <c r="AI34" s="957"/>
      <c r="AJ34" s="113"/>
      <c r="AK34" s="106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s="93" customFormat="1" ht="9" customHeight="1">
      <c r="A35" s="119"/>
      <c r="B35" s="120"/>
      <c r="C35" s="120"/>
      <c r="D35" s="266"/>
      <c r="E35" s="266"/>
      <c r="F35" s="266"/>
      <c r="G35" s="266"/>
      <c r="H35" s="266"/>
      <c r="I35" s="266"/>
      <c r="J35" s="266"/>
      <c r="K35" s="266"/>
      <c r="L35" s="266"/>
      <c r="M35" s="953" t="s">
        <v>0</v>
      </c>
      <c r="N35" s="953"/>
      <c r="O35" s="953"/>
      <c r="P35" s="953"/>
      <c r="Q35" s="953"/>
      <c r="R35" s="266"/>
      <c r="S35" s="953" t="s">
        <v>80</v>
      </c>
      <c r="T35" s="953"/>
      <c r="U35" s="953"/>
      <c r="V35" s="953"/>
      <c r="W35" s="953"/>
      <c r="X35" s="953"/>
      <c r="Y35" s="953"/>
      <c r="Z35" s="953"/>
      <c r="AA35" s="953"/>
      <c r="AB35" s="953"/>
      <c r="AC35" s="121"/>
      <c r="AD35" s="953" t="s">
        <v>81</v>
      </c>
      <c r="AE35" s="953"/>
      <c r="AF35" s="953"/>
      <c r="AG35" s="953"/>
      <c r="AH35" s="953"/>
      <c r="AI35" s="953"/>
      <c r="AJ35" s="953"/>
      <c r="AK35" s="122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</row>
    <row r="36" spans="1:51" s="93" customFormat="1" ht="4.7" hidden="1" customHeight="1">
      <c r="A36" s="119"/>
      <c r="B36" s="120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120"/>
      <c r="P36" s="266"/>
      <c r="Q36" s="266"/>
      <c r="R36" s="266"/>
      <c r="S36" s="266"/>
      <c r="T36" s="266"/>
      <c r="U36" s="266"/>
      <c r="V36" s="266"/>
      <c r="W36" s="266"/>
      <c r="X36" s="266"/>
      <c r="Y36" s="120"/>
      <c r="Z36" s="266"/>
      <c r="AA36" s="266"/>
      <c r="AB36" s="266"/>
      <c r="AC36" s="266"/>
      <c r="AD36" s="266"/>
      <c r="AE36" s="266"/>
      <c r="AF36" s="266"/>
      <c r="AG36" s="266"/>
      <c r="AH36" s="123"/>
      <c r="AI36" s="123"/>
      <c r="AJ36" s="123"/>
      <c r="AK36" s="123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</row>
    <row r="37" spans="1:51" s="93" customFormat="1" ht="4.7" customHeight="1">
      <c r="A37" s="119"/>
      <c r="B37" s="120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120"/>
      <c r="P37" s="266"/>
      <c r="Q37" s="266"/>
      <c r="R37" s="266"/>
      <c r="S37" s="266"/>
      <c r="T37" s="266"/>
      <c r="U37" s="266"/>
      <c r="V37" s="266"/>
      <c r="W37" s="266"/>
      <c r="X37" s="266"/>
      <c r="Y37" s="120"/>
      <c r="Z37" s="266"/>
      <c r="AA37" s="266"/>
      <c r="AB37" s="266"/>
      <c r="AC37" s="266"/>
      <c r="AD37" s="266"/>
      <c r="AE37" s="266"/>
      <c r="AF37" s="266"/>
      <c r="AG37" s="266"/>
      <c r="AH37" s="123"/>
      <c r="AI37" s="123"/>
      <c r="AJ37" s="123"/>
      <c r="AK37" s="123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</row>
    <row r="38" spans="1:51" s="93" customFormat="1" ht="15.75" customHeight="1">
      <c r="A38" s="119"/>
      <c r="B38" s="120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120" t="s">
        <v>308</v>
      </c>
      <c r="P38" s="266"/>
      <c r="Q38" s="266"/>
      <c r="R38" s="266"/>
      <c r="S38" s="266"/>
      <c r="T38" s="266"/>
      <c r="U38" s="266"/>
      <c r="V38" s="266"/>
      <c r="W38" s="266"/>
      <c r="X38" s="266"/>
      <c r="Y38" s="120"/>
      <c r="Z38" s="266"/>
      <c r="AA38" s="266"/>
      <c r="AB38" s="266"/>
      <c r="AC38" s="266"/>
      <c r="AD38" s="266"/>
      <c r="AE38" s="266"/>
      <c r="AF38" s="266"/>
      <c r="AG38" s="266"/>
      <c r="AH38" s="123"/>
      <c r="AI38" s="123"/>
      <c r="AJ38" s="123"/>
      <c r="AK38" s="123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</row>
    <row r="39" spans="1:51">
      <c r="A39" s="12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51"/>
    </row>
    <row r="40" spans="1:51" ht="18.75" customHeight="1">
      <c r="A40" s="947" t="s">
        <v>82</v>
      </c>
      <c r="B40" s="948"/>
      <c r="C40" s="948"/>
      <c r="D40" s="948"/>
      <c r="E40" s="948"/>
      <c r="F40" s="948"/>
      <c r="G40" s="948"/>
      <c r="H40" s="948"/>
      <c r="I40" s="948"/>
      <c r="J40" s="948"/>
      <c r="K40" s="948"/>
      <c r="L40" s="91"/>
      <c r="M40" s="90"/>
      <c r="N40" s="90"/>
      <c r="O40" s="90"/>
      <c r="P40" s="90"/>
      <c r="Q40" s="90"/>
      <c r="R40" s="91"/>
      <c r="S40" s="949"/>
      <c r="T40" s="949"/>
      <c r="U40" s="949"/>
      <c r="V40" s="949"/>
      <c r="W40" s="949"/>
      <c r="X40" s="949"/>
      <c r="Y40" s="949"/>
      <c r="Z40" s="949"/>
      <c r="AA40" s="949"/>
      <c r="AB40" s="949"/>
      <c r="AC40" s="91"/>
      <c r="AD40" s="950"/>
      <c r="AE40" s="949"/>
      <c r="AF40" s="949"/>
      <c r="AG40" s="949"/>
      <c r="AH40" s="949"/>
      <c r="AI40" s="949"/>
      <c r="AJ40" s="113"/>
    </row>
    <row r="41" spans="1:51" ht="20.25" customHeight="1">
      <c r="A41" s="948"/>
      <c r="B41" s="948"/>
      <c r="C41" s="948"/>
      <c r="D41" s="948"/>
      <c r="E41" s="948"/>
      <c r="F41" s="948"/>
      <c r="G41" s="948"/>
      <c r="H41" s="948"/>
      <c r="I41" s="948"/>
      <c r="J41" s="948"/>
      <c r="K41" s="948"/>
      <c r="L41" s="951" t="s">
        <v>83</v>
      </c>
      <c r="M41" s="952"/>
      <c r="N41" s="952"/>
      <c r="O41" s="952"/>
      <c r="P41" s="952"/>
      <c r="Q41" s="952"/>
      <c r="R41" s="952"/>
      <c r="S41" s="953" t="s">
        <v>84</v>
      </c>
      <c r="T41" s="953"/>
      <c r="U41" s="953"/>
      <c r="V41" s="953"/>
      <c r="W41" s="953"/>
      <c r="X41" s="953"/>
      <c r="Y41" s="953"/>
      <c r="Z41" s="953"/>
      <c r="AA41" s="953"/>
      <c r="AB41" s="953"/>
      <c r="AC41" s="121"/>
      <c r="AD41" s="953" t="s">
        <v>81</v>
      </c>
      <c r="AE41" s="953"/>
      <c r="AF41" s="953"/>
      <c r="AG41" s="953"/>
      <c r="AH41" s="953"/>
      <c r="AI41" s="953"/>
      <c r="AJ41" s="953"/>
    </row>
    <row r="42" spans="1:51">
      <c r="A42" s="948"/>
      <c r="B42" s="948"/>
      <c r="C42" s="948"/>
      <c r="D42" s="948"/>
      <c r="E42" s="948"/>
      <c r="F42" s="948"/>
      <c r="G42" s="948"/>
      <c r="H42" s="948"/>
      <c r="I42" s="948"/>
      <c r="J42" s="948"/>
      <c r="K42" s="948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51"/>
    </row>
    <row r="43" spans="1:51" s="51" customFormat="1">
      <c r="A43" s="12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1:51" s="51" customFormat="1">
      <c r="A44" s="12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1:51" s="51" customFormat="1">
      <c r="A45" s="125"/>
    </row>
    <row r="46" spans="1:51" s="51" customFormat="1">
      <c r="A46" s="125"/>
    </row>
    <row r="47" spans="1:51" s="51" customFormat="1">
      <c r="A47" s="125"/>
    </row>
    <row r="48" spans="1:51" s="51" customFormat="1">
      <c r="A48" s="125"/>
    </row>
    <row r="49" spans="1:1" s="51" customFormat="1">
      <c r="A49" s="125"/>
    </row>
    <row r="50" spans="1:1" s="51" customFormat="1">
      <c r="A50" s="125"/>
    </row>
    <row r="51" spans="1:1" s="51" customFormat="1">
      <c r="A51" s="125"/>
    </row>
    <row r="52" spans="1:1" s="51" customFormat="1">
      <c r="A52" s="125"/>
    </row>
    <row r="53" spans="1:1" s="51" customFormat="1">
      <c r="A53" s="125"/>
    </row>
    <row r="54" spans="1:1" s="51" customFormat="1">
      <c r="A54" s="125"/>
    </row>
    <row r="55" spans="1:1" s="51" customFormat="1">
      <c r="A55" s="125"/>
    </row>
    <row r="56" spans="1:1" s="51" customFormat="1">
      <c r="A56" s="125"/>
    </row>
    <row r="57" spans="1:1" s="51" customFormat="1">
      <c r="A57" s="125"/>
    </row>
    <row r="58" spans="1:1" s="51" customFormat="1">
      <c r="A58" s="125"/>
    </row>
    <row r="59" spans="1:1" s="51" customFormat="1">
      <c r="A59" s="125"/>
    </row>
    <row r="60" spans="1:1" s="51" customFormat="1">
      <c r="A60" s="125"/>
    </row>
    <row r="61" spans="1:1" s="51" customFormat="1">
      <c r="A61" s="125"/>
    </row>
    <row r="62" spans="1:1" s="51" customFormat="1">
      <c r="A62" s="125"/>
    </row>
    <row r="63" spans="1:1" s="51" customFormat="1">
      <c r="A63" s="125"/>
    </row>
    <row r="64" spans="1:1" s="51" customFormat="1">
      <c r="A64" s="125"/>
    </row>
    <row r="65" spans="1:1" s="51" customFormat="1">
      <c r="A65" s="125"/>
    </row>
    <row r="66" spans="1:1" s="51" customFormat="1">
      <c r="A66" s="125"/>
    </row>
    <row r="67" spans="1:1" s="51" customFormat="1">
      <c r="A67" s="125"/>
    </row>
    <row r="68" spans="1:1" s="51" customFormat="1">
      <c r="A68" s="125"/>
    </row>
    <row r="69" spans="1:1" s="51" customFormat="1">
      <c r="A69" s="125"/>
    </row>
    <row r="70" spans="1:1" s="51" customFormat="1">
      <c r="A70" s="125"/>
    </row>
    <row r="71" spans="1:1" s="51" customFormat="1">
      <c r="A71" s="125"/>
    </row>
    <row r="72" spans="1:1" s="51" customFormat="1">
      <c r="A72" s="125"/>
    </row>
    <row r="73" spans="1:1" s="51" customFormat="1">
      <c r="A73" s="125"/>
    </row>
    <row r="74" spans="1:1" s="51" customFormat="1">
      <c r="A74" s="125"/>
    </row>
    <row r="75" spans="1:1" s="51" customFormat="1">
      <c r="A75" s="125"/>
    </row>
    <row r="76" spans="1:1" s="51" customFormat="1">
      <c r="A76" s="125"/>
    </row>
    <row r="77" spans="1:1" s="51" customFormat="1">
      <c r="A77" s="125"/>
    </row>
    <row r="78" spans="1:1" s="51" customFormat="1">
      <c r="A78" s="125"/>
    </row>
    <row r="79" spans="1:1" s="51" customFormat="1">
      <c r="A79" s="125"/>
    </row>
    <row r="80" spans="1:1" s="51" customFormat="1">
      <c r="A80" s="125"/>
    </row>
    <row r="81" spans="1:1" s="51" customFormat="1">
      <c r="A81" s="125"/>
    </row>
    <row r="82" spans="1:1" s="51" customFormat="1">
      <c r="A82" s="125"/>
    </row>
    <row r="83" spans="1:1" s="51" customFormat="1">
      <c r="A83" s="125"/>
    </row>
    <row r="84" spans="1:1" s="51" customFormat="1">
      <c r="A84" s="125"/>
    </row>
    <row r="85" spans="1:1" s="51" customFormat="1">
      <c r="A85" s="125"/>
    </row>
    <row r="86" spans="1:1" s="51" customFormat="1">
      <c r="A86" s="125"/>
    </row>
    <row r="87" spans="1:1" s="51" customFormat="1">
      <c r="A87" s="125"/>
    </row>
    <row r="88" spans="1:1" s="51" customFormat="1">
      <c r="A88" s="125"/>
    </row>
    <row r="89" spans="1:1" s="51" customFormat="1">
      <c r="A89" s="125"/>
    </row>
    <row r="90" spans="1:1" s="51" customFormat="1">
      <c r="A90" s="125"/>
    </row>
    <row r="91" spans="1:1" s="51" customFormat="1">
      <c r="A91" s="125"/>
    </row>
    <row r="92" spans="1:1" s="51" customFormat="1">
      <c r="A92" s="125"/>
    </row>
    <row r="93" spans="1:1" s="51" customFormat="1">
      <c r="A93" s="125"/>
    </row>
    <row r="94" spans="1:1" s="51" customFormat="1">
      <c r="A94" s="125"/>
    </row>
    <row r="95" spans="1:1" s="51" customFormat="1">
      <c r="A95" s="125"/>
    </row>
    <row r="96" spans="1:1" s="51" customFormat="1">
      <c r="A96" s="125"/>
    </row>
    <row r="97" spans="1:1" s="51" customFormat="1">
      <c r="A97" s="125"/>
    </row>
    <row r="98" spans="1:1" s="51" customFormat="1">
      <c r="A98" s="125"/>
    </row>
    <row r="99" spans="1:1" s="51" customFormat="1">
      <c r="A99" s="125"/>
    </row>
    <row r="100" spans="1:1" s="51" customFormat="1">
      <c r="A100" s="125"/>
    </row>
    <row r="101" spans="1:1" s="51" customFormat="1">
      <c r="A101" s="125"/>
    </row>
    <row r="102" spans="1:1" s="51" customFormat="1">
      <c r="A102" s="125"/>
    </row>
    <row r="103" spans="1:1" s="51" customFormat="1">
      <c r="A103" s="125"/>
    </row>
    <row r="104" spans="1:1" s="51" customFormat="1">
      <c r="A104" s="125"/>
    </row>
    <row r="105" spans="1:1" s="51" customFormat="1">
      <c r="A105" s="125"/>
    </row>
    <row r="106" spans="1:1" s="51" customFormat="1">
      <c r="A106" s="125"/>
    </row>
    <row r="107" spans="1:1" s="51" customFormat="1">
      <c r="A107" s="125"/>
    </row>
    <row r="108" spans="1:1" s="51" customFormat="1">
      <c r="A108" s="125"/>
    </row>
    <row r="109" spans="1:1" s="51" customFormat="1">
      <c r="A109" s="125"/>
    </row>
    <row r="110" spans="1:1" s="51" customFormat="1">
      <c r="A110" s="125"/>
    </row>
    <row r="111" spans="1:1" s="51" customFormat="1">
      <c r="A111" s="125"/>
    </row>
    <row r="112" spans="1:1" s="51" customFormat="1">
      <c r="A112" s="125"/>
    </row>
    <row r="113" spans="1:1" s="51" customFormat="1">
      <c r="A113" s="125"/>
    </row>
    <row r="114" spans="1:1" s="51" customFormat="1">
      <c r="A114" s="125"/>
    </row>
    <row r="115" spans="1:1" s="51" customFormat="1">
      <c r="A115" s="125"/>
    </row>
    <row r="116" spans="1:1" s="51" customFormat="1">
      <c r="A116" s="125"/>
    </row>
    <row r="117" spans="1:1" s="51" customFormat="1">
      <c r="A117" s="125"/>
    </row>
    <row r="118" spans="1:1" s="51" customFormat="1">
      <c r="A118" s="125"/>
    </row>
    <row r="119" spans="1:1" s="51" customFormat="1">
      <c r="A119" s="125"/>
    </row>
    <row r="120" spans="1:1" s="51" customFormat="1">
      <c r="A120" s="125"/>
    </row>
    <row r="121" spans="1:1" s="51" customFormat="1">
      <c r="A121" s="125"/>
    </row>
    <row r="122" spans="1:1" s="51" customFormat="1">
      <c r="A122" s="125"/>
    </row>
    <row r="123" spans="1:1" s="51" customFormat="1">
      <c r="A123" s="125"/>
    </row>
    <row r="124" spans="1:1" s="51" customFormat="1">
      <c r="A124" s="125"/>
    </row>
    <row r="125" spans="1:1" s="51" customFormat="1">
      <c r="A125" s="125"/>
    </row>
    <row r="126" spans="1:1" s="51" customFormat="1">
      <c r="A126" s="125"/>
    </row>
    <row r="127" spans="1:1" s="51" customFormat="1">
      <c r="A127" s="125"/>
    </row>
    <row r="128" spans="1:1" s="51" customFormat="1">
      <c r="A128" s="125"/>
    </row>
    <row r="129" spans="1:1" s="51" customFormat="1">
      <c r="A129" s="125"/>
    </row>
    <row r="130" spans="1:1" s="51" customFormat="1">
      <c r="A130" s="125"/>
    </row>
    <row r="131" spans="1:1" s="51" customFormat="1">
      <c r="A131" s="125"/>
    </row>
    <row r="132" spans="1:1" s="51" customFormat="1">
      <c r="A132" s="125"/>
    </row>
    <row r="133" spans="1:1" s="51" customFormat="1">
      <c r="A133" s="125"/>
    </row>
  </sheetData>
  <sheetProtection formatRows="0" insertRows="0" selectLockedCells="1"/>
  <mergeCells count="33">
    <mergeCell ref="G6:AI6"/>
    <mergeCell ref="I1:AK1"/>
    <mergeCell ref="A2:AK2"/>
    <mergeCell ref="A4:K4"/>
    <mergeCell ref="L4:AI4"/>
    <mergeCell ref="G5:AI5"/>
    <mergeCell ref="G30:N30"/>
    <mergeCell ref="R30:Y30"/>
    <mergeCell ref="G8:AI8"/>
    <mergeCell ref="B12:F12"/>
    <mergeCell ref="H12:AI12"/>
    <mergeCell ref="B13:F13"/>
    <mergeCell ref="H13:AI13"/>
    <mergeCell ref="S15:V15"/>
    <mergeCell ref="AF15:AI15"/>
    <mergeCell ref="G17:X17"/>
    <mergeCell ref="Z17:AI17"/>
    <mergeCell ref="G18:X18"/>
    <mergeCell ref="Z18:AI18"/>
    <mergeCell ref="G20:AI20"/>
    <mergeCell ref="G31:N31"/>
    <mergeCell ref="R31:Y31"/>
    <mergeCell ref="S34:AB34"/>
    <mergeCell ref="AD34:AI34"/>
    <mergeCell ref="M35:Q35"/>
    <mergeCell ref="S35:AB35"/>
    <mergeCell ref="AD35:AJ35"/>
    <mergeCell ref="A40:K42"/>
    <mergeCell ref="S40:AB40"/>
    <mergeCell ref="AD40:AI40"/>
    <mergeCell ref="L41:R41"/>
    <mergeCell ref="S41:AB41"/>
    <mergeCell ref="AD41:AJ41"/>
  </mergeCells>
  <pageMargins left="0.94488188976377963" right="0.31496062992125984" top="0.51181102362204722" bottom="0.27559055118110237" header="0.19685039370078741" footer="0.19685039370078741"/>
  <pageSetup paperSize="9" scale="90" fitToWidth="2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76200</xdr:rowOff>
                  </from>
                  <to>
                    <xdr:col>1</xdr:col>
                    <xdr:colOff>57150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13</xdr:col>
                    <xdr:colOff>171450</xdr:colOff>
                    <xdr:row>25</xdr:row>
                    <xdr:rowOff>95250</xdr:rowOff>
                  </from>
                  <to>
                    <xdr:col>15</xdr:col>
                    <xdr:colOff>66675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85725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AY133"/>
  <sheetViews>
    <sheetView showGridLines="0" view="pageBreakPreview" zoomScale="120" zoomScaleNormal="120" zoomScaleSheetLayoutView="120" zoomScalePageLayoutView="25" workbookViewId="0">
      <selection activeCell="B1" sqref="B1"/>
    </sheetView>
  </sheetViews>
  <sheetFormatPr defaultColWidth="2.5703125" defaultRowHeight="12.75"/>
  <cols>
    <col min="1" max="1" width="3.28515625" style="126" customWidth="1"/>
    <col min="2" max="2" width="1.85546875" style="52" customWidth="1"/>
    <col min="3" max="3" width="2.85546875" style="52" customWidth="1"/>
    <col min="4" max="23" width="2.7109375" style="52" customWidth="1"/>
    <col min="24" max="24" width="5" style="52" customWidth="1"/>
    <col min="25" max="35" width="2.7109375" style="52" customWidth="1"/>
    <col min="36" max="36" width="0.5703125" style="52" customWidth="1"/>
    <col min="37" max="37" width="0.5703125" style="51" customWidth="1"/>
    <col min="38" max="38" width="1.140625" style="51" customWidth="1"/>
    <col min="39" max="51" width="2.5703125" style="51" customWidth="1"/>
    <col min="52" max="16384" width="2.5703125" style="52"/>
  </cols>
  <sheetData>
    <row r="1" spans="1:51" ht="62.25" customHeight="1">
      <c r="A1" s="49"/>
      <c r="B1" s="50"/>
      <c r="C1" s="50"/>
      <c r="D1" s="50"/>
      <c r="E1" s="50"/>
      <c r="F1" s="50"/>
      <c r="G1" s="50"/>
      <c r="H1" s="50"/>
      <c r="I1" s="968" t="s">
        <v>305</v>
      </c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69"/>
      <c r="V1" s="969"/>
      <c r="W1" s="969"/>
      <c r="X1" s="969"/>
      <c r="Y1" s="969"/>
      <c r="Z1" s="969"/>
      <c r="AA1" s="969"/>
      <c r="AB1" s="969"/>
      <c r="AC1" s="969"/>
      <c r="AD1" s="969"/>
      <c r="AE1" s="969"/>
      <c r="AF1" s="969"/>
      <c r="AG1" s="969"/>
      <c r="AH1" s="969"/>
      <c r="AI1" s="969"/>
      <c r="AJ1" s="969"/>
      <c r="AK1" s="969"/>
    </row>
    <row r="2" spans="1:51" ht="23.25" customHeight="1">
      <c r="A2" s="970" t="s">
        <v>60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  <c r="Z2" s="970"/>
      <c r="AA2" s="970"/>
      <c r="AB2" s="970"/>
      <c r="AC2" s="970"/>
      <c r="AD2" s="970"/>
      <c r="AE2" s="970"/>
      <c r="AF2" s="970"/>
      <c r="AG2" s="970"/>
      <c r="AH2" s="970"/>
      <c r="AI2" s="970"/>
      <c r="AJ2" s="970"/>
      <c r="AK2" s="970"/>
      <c r="AL2" s="53"/>
    </row>
    <row r="3" spans="1:51" ht="2.85" hidden="1" customHeight="1">
      <c r="A3" s="54"/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51" ht="34.5" customHeight="1">
      <c r="A4" s="971" t="s">
        <v>306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56"/>
      <c r="AK4" s="56"/>
    </row>
    <row r="5" spans="1:51" s="60" customFormat="1" ht="9.75" customHeight="1">
      <c r="A5" s="57"/>
      <c r="B5" s="57"/>
      <c r="C5" s="57"/>
      <c r="D5" s="57"/>
      <c r="E5" s="57"/>
      <c r="F5" s="57"/>
      <c r="G5" s="972" t="s">
        <v>61</v>
      </c>
      <c r="H5" s="972"/>
      <c r="I5" s="972"/>
      <c r="J5" s="972"/>
      <c r="K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  <c r="AA5" s="972"/>
      <c r="AB5" s="972"/>
      <c r="AC5" s="972"/>
      <c r="AD5" s="972"/>
      <c r="AE5" s="972"/>
      <c r="AF5" s="972"/>
      <c r="AG5" s="972"/>
      <c r="AH5" s="972"/>
      <c r="AI5" s="972"/>
      <c r="AJ5" s="58"/>
      <c r="AK5" s="58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1" ht="18.75" customHeight="1">
      <c r="A6" s="61" t="s">
        <v>62</v>
      </c>
      <c r="B6" s="56"/>
      <c r="C6" s="56"/>
      <c r="D6" s="56"/>
      <c r="E6" s="56"/>
      <c r="F6" s="56"/>
      <c r="G6" s="959"/>
      <c r="H6" s="959"/>
      <c r="I6" s="959"/>
      <c r="J6" s="959"/>
      <c r="K6" s="959"/>
      <c r="L6" s="959"/>
      <c r="M6" s="959"/>
      <c r="N6" s="959"/>
      <c r="O6" s="959"/>
      <c r="P6" s="959"/>
      <c r="Q6" s="959"/>
      <c r="R6" s="959"/>
      <c r="S6" s="959"/>
      <c r="T6" s="959"/>
      <c r="U6" s="959"/>
      <c r="V6" s="959"/>
      <c r="W6" s="959"/>
      <c r="X6" s="959"/>
      <c r="Y6" s="959"/>
      <c r="Z6" s="959"/>
      <c r="AA6" s="959"/>
      <c r="AB6" s="959"/>
      <c r="AC6" s="959"/>
      <c r="AD6" s="959"/>
      <c r="AE6" s="959"/>
      <c r="AF6" s="959"/>
      <c r="AG6" s="959"/>
      <c r="AH6" s="959"/>
      <c r="AI6" s="959"/>
      <c r="AJ6" s="56"/>
      <c r="AK6" s="56"/>
    </row>
    <row r="7" spans="1:51" ht="3.2" customHeight="1">
      <c r="A7" s="6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51" ht="15.75" customHeight="1">
      <c r="A8" s="61" t="s">
        <v>63</v>
      </c>
      <c r="B8" s="56"/>
      <c r="C8" s="56"/>
      <c r="D8" s="56"/>
      <c r="E8" s="56"/>
      <c r="F8" s="56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59"/>
      <c r="S8" s="959"/>
      <c r="T8" s="959"/>
      <c r="U8" s="959"/>
      <c r="V8" s="959"/>
      <c r="W8" s="959"/>
      <c r="X8" s="959"/>
      <c r="Y8" s="959"/>
      <c r="Z8" s="959"/>
      <c r="AA8" s="959"/>
      <c r="AB8" s="959"/>
      <c r="AC8" s="959"/>
      <c r="AD8" s="959"/>
      <c r="AE8" s="959"/>
      <c r="AF8" s="959"/>
      <c r="AG8" s="959"/>
      <c r="AH8" s="959"/>
      <c r="AI8" s="959"/>
      <c r="AJ8" s="56"/>
      <c r="AK8" s="56"/>
    </row>
    <row r="9" spans="1:51" ht="4.7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</row>
    <row r="10" spans="1:51" ht="17.25" customHeight="1">
      <c r="A10" s="61" t="s">
        <v>64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51" ht="3.2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56"/>
      <c r="AK11" s="56"/>
    </row>
    <row r="12" spans="1:51" ht="15.75" customHeight="1">
      <c r="A12" s="61"/>
      <c r="B12" s="960"/>
      <c r="C12" s="961"/>
      <c r="D12" s="961"/>
      <c r="E12" s="961"/>
      <c r="F12" s="961"/>
      <c r="G12" s="64"/>
      <c r="H12" s="959"/>
      <c r="I12" s="961"/>
      <c r="J12" s="961"/>
      <c r="K12" s="961"/>
      <c r="L12" s="961"/>
      <c r="M12" s="961"/>
      <c r="N12" s="961"/>
      <c r="O12" s="961"/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A12" s="961"/>
      <c r="AB12" s="961"/>
      <c r="AC12" s="961"/>
      <c r="AD12" s="961"/>
      <c r="AE12" s="961"/>
      <c r="AF12" s="961"/>
      <c r="AG12" s="961"/>
      <c r="AH12" s="961"/>
      <c r="AI12" s="961"/>
      <c r="AJ12" s="56"/>
      <c r="AK12" s="56"/>
    </row>
    <row r="13" spans="1:51" ht="17.25" customHeight="1">
      <c r="A13" s="61"/>
      <c r="B13" s="962" t="s">
        <v>65</v>
      </c>
      <c r="C13" s="963"/>
      <c r="D13" s="963"/>
      <c r="E13" s="963"/>
      <c r="F13" s="963"/>
      <c r="G13" s="65"/>
      <c r="H13" s="964" t="s">
        <v>66</v>
      </c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56"/>
      <c r="AK13" s="56"/>
    </row>
    <row r="14" spans="1:51" ht="3.2" customHeight="1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51" s="70" customFormat="1" ht="2.2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965"/>
      <c r="T15" s="965"/>
      <c r="U15" s="965"/>
      <c r="V15" s="965"/>
      <c r="W15" s="67"/>
      <c r="X15" s="67"/>
      <c r="Y15" s="67"/>
      <c r="Z15" s="67"/>
      <c r="AA15" s="67"/>
      <c r="AB15" s="67"/>
      <c r="AC15" s="67"/>
      <c r="AD15" s="67"/>
      <c r="AE15" s="67"/>
      <c r="AF15" s="965"/>
      <c r="AG15" s="965"/>
      <c r="AH15" s="965"/>
      <c r="AI15" s="965"/>
      <c r="AJ15" s="68"/>
      <c r="AK15" s="68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</row>
    <row r="16" spans="1:51" ht="22.5" customHeight="1">
      <c r="A16" s="61" t="s">
        <v>67</v>
      </c>
      <c r="B16" s="63"/>
      <c r="C16" s="63"/>
      <c r="D16" s="63"/>
      <c r="E16" s="63"/>
      <c r="F16" s="63"/>
      <c r="G16" s="71"/>
      <c r="H16" s="72"/>
      <c r="I16" s="72" t="s">
        <v>68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56"/>
      <c r="AK16" s="56"/>
    </row>
    <row r="17" spans="1:51" ht="21" customHeight="1">
      <c r="A17" s="74" t="s">
        <v>69</v>
      </c>
      <c r="B17" s="56"/>
      <c r="C17" s="56"/>
      <c r="D17" s="56"/>
      <c r="E17" s="56"/>
      <c r="F17" s="56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  <c r="T17" s="959"/>
      <c r="U17" s="959"/>
      <c r="V17" s="959"/>
      <c r="W17" s="959"/>
      <c r="X17" s="959"/>
      <c r="Y17" s="56"/>
      <c r="Z17" s="959"/>
      <c r="AA17" s="959"/>
      <c r="AB17" s="959"/>
      <c r="AC17" s="959"/>
      <c r="AD17" s="959"/>
      <c r="AE17" s="959"/>
      <c r="AF17" s="959"/>
      <c r="AG17" s="959"/>
      <c r="AH17" s="959"/>
      <c r="AI17" s="959"/>
      <c r="AJ17" s="56"/>
      <c r="AK17" s="56"/>
    </row>
    <row r="18" spans="1:51" s="78" customFormat="1">
      <c r="A18" s="75"/>
      <c r="B18" s="76"/>
      <c r="C18" s="76"/>
      <c r="D18" s="76"/>
      <c r="E18" s="76"/>
      <c r="F18" s="77"/>
      <c r="G18" s="966" t="s">
        <v>70</v>
      </c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966"/>
      <c r="T18" s="966"/>
      <c r="U18" s="966"/>
      <c r="V18" s="966"/>
      <c r="W18" s="966"/>
      <c r="X18" s="966"/>
      <c r="Y18" s="77"/>
      <c r="Z18" s="966" t="s">
        <v>71</v>
      </c>
      <c r="AA18" s="966"/>
      <c r="AB18" s="966"/>
      <c r="AC18" s="966"/>
      <c r="AD18" s="966"/>
      <c r="AE18" s="966"/>
      <c r="AF18" s="966"/>
      <c r="AG18" s="966"/>
      <c r="AH18" s="966"/>
      <c r="AI18" s="966"/>
      <c r="AJ18" s="77"/>
      <c r="AK18" s="77"/>
    </row>
    <row r="19" spans="1:51" s="82" customFormat="1" ht="3.2" customHeight="1">
      <c r="A19" s="75"/>
      <c r="B19" s="76"/>
      <c r="C19" s="76"/>
      <c r="D19" s="76"/>
      <c r="E19" s="76"/>
      <c r="F19" s="76"/>
      <c r="G19" s="79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76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76"/>
      <c r="AK19" s="76"/>
    </row>
    <row r="20" spans="1:51" ht="15.75" customHeight="1">
      <c r="A20" s="74" t="s">
        <v>72</v>
      </c>
      <c r="B20" s="79"/>
      <c r="C20" s="79"/>
      <c r="D20" s="79"/>
      <c r="E20" s="79"/>
      <c r="F20" s="79"/>
      <c r="G20" s="967"/>
      <c r="H20" s="967"/>
      <c r="I20" s="967"/>
      <c r="J20" s="967"/>
      <c r="K20" s="967"/>
      <c r="L20" s="967"/>
      <c r="M20" s="967"/>
      <c r="N20" s="967"/>
      <c r="O20" s="967"/>
      <c r="P20" s="967"/>
      <c r="Q20" s="967"/>
      <c r="R20" s="967"/>
      <c r="S20" s="967"/>
      <c r="T20" s="967"/>
      <c r="U20" s="967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7"/>
      <c r="AI20" s="967"/>
      <c r="AJ20" s="79"/>
      <c r="AK20" s="79"/>
    </row>
    <row r="21" spans="1:51" ht="3.2" hidden="1" customHeight="1">
      <c r="A21" s="83"/>
      <c r="B21" s="79"/>
      <c r="C21" s="79"/>
      <c r="D21" s="79"/>
      <c r="E21" s="79"/>
      <c r="F21" s="79"/>
      <c r="G21" s="79"/>
      <c r="H21" s="80"/>
      <c r="I21" s="79"/>
      <c r="J21" s="79"/>
      <c r="K21" s="79"/>
      <c r="L21" s="79"/>
      <c r="M21" s="79"/>
      <c r="N21" s="80"/>
      <c r="O21" s="79"/>
      <c r="P21" s="79"/>
      <c r="Q21" s="79"/>
      <c r="R21" s="79"/>
      <c r="S21" s="79"/>
      <c r="T21" s="79"/>
      <c r="U21" s="79"/>
      <c r="V21" s="79"/>
      <c r="W21" s="79"/>
      <c r="X21" s="80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56"/>
    </row>
    <row r="22" spans="1:51" ht="15" customHeight="1">
      <c r="A22" s="61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1:51" s="85" customFormat="1" ht="8.2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48"/>
    </row>
    <row r="24" spans="1:51" s="85" customFormat="1" ht="8.2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48"/>
    </row>
    <row r="25" spans="1:51" s="93" customFormat="1" ht="13.7" hidden="1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0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91"/>
      <c r="AL25" s="92"/>
      <c r="AM25" s="84"/>
    </row>
    <row r="26" spans="1:51" ht="27" customHeight="1">
      <c r="A26" s="94"/>
      <c r="B26" s="95" t="s">
        <v>73</v>
      </c>
      <c r="C26" s="96"/>
      <c r="D26" s="96"/>
      <c r="E26" s="96"/>
      <c r="F26" s="97"/>
      <c r="G26" s="95"/>
      <c r="H26" s="96"/>
      <c r="I26" s="96"/>
      <c r="J26" s="96"/>
      <c r="K26" s="96"/>
      <c r="L26" s="96"/>
      <c r="M26" s="96"/>
      <c r="N26" s="96"/>
      <c r="O26" s="96"/>
      <c r="P26" s="95" t="s">
        <v>74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8"/>
      <c r="AK26" s="91"/>
      <c r="AL26" s="9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</row>
    <row r="27" spans="1:51" s="100" customFormat="1" ht="6.4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1:51" s="100" customFormat="1" ht="0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51" s="93" customFormat="1" ht="20.25" customHeight="1">
      <c r="A29" s="101" t="s">
        <v>75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91"/>
      <c r="AL29" s="84"/>
      <c r="AM29" s="84"/>
    </row>
    <row r="30" spans="1:51" s="93" customFormat="1" ht="21" customHeight="1">
      <c r="A30" s="104"/>
      <c r="B30" s="91"/>
      <c r="C30" s="91"/>
      <c r="D30" s="91"/>
      <c r="E30" s="91"/>
      <c r="F30" s="105" t="s">
        <v>76</v>
      </c>
      <c r="G30" s="954"/>
      <c r="H30" s="954"/>
      <c r="I30" s="954"/>
      <c r="J30" s="954"/>
      <c r="K30" s="954"/>
      <c r="L30" s="954"/>
      <c r="M30" s="954"/>
      <c r="N30" s="954"/>
      <c r="O30" s="91"/>
      <c r="P30" s="91"/>
      <c r="Q30" s="105" t="s">
        <v>77</v>
      </c>
      <c r="R30" s="954"/>
      <c r="S30" s="954"/>
      <c r="T30" s="954"/>
      <c r="U30" s="954"/>
      <c r="V30" s="954"/>
      <c r="W30" s="954"/>
      <c r="X30" s="954"/>
      <c r="Y30" s="954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7"/>
      <c r="AK30" s="108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</row>
    <row r="31" spans="1:51" s="93" customFormat="1" ht="21" customHeight="1">
      <c r="A31" s="104"/>
      <c r="B31" s="91"/>
      <c r="C31" s="91"/>
      <c r="D31" s="91"/>
      <c r="E31" s="91"/>
      <c r="F31" s="105" t="s">
        <v>78</v>
      </c>
      <c r="G31" s="954"/>
      <c r="H31" s="954"/>
      <c r="I31" s="954"/>
      <c r="J31" s="954"/>
      <c r="K31" s="954"/>
      <c r="L31" s="954"/>
      <c r="M31" s="954"/>
      <c r="N31" s="954"/>
      <c r="O31" s="91"/>
      <c r="P31" s="91"/>
      <c r="Q31" s="105" t="s">
        <v>79</v>
      </c>
      <c r="R31" s="955"/>
      <c r="S31" s="956"/>
      <c r="T31" s="956"/>
      <c r="U31" s="956"/>
      <c r="V31" s="956"/>
      <c r="W31" s="956"/>
      <c r="X31" s="956"/>
      <c r="Y31" s="956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7"/>
      <c r="AK31" s="108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</row>
    <row r="32" spans="1:51" ht="6.75" customHeight="1">
      <c r="A32" s="110"/>
      <c r="B32" s="90"/>
      <c r="C32" s="90"/>
      <c r="D32" s="90"/>
      <c r="E32" s="90"/>
      <c r="F32" s="111"/>
      <c r="G32" s="112"/>
      <c r="H32" s="113"/>
      <c r="I32" s="113"/>
      <c r="J32" s="113"/>
      <c r="K32" s="113"/>
      <c r="L32" s="113"/>
      <c r="M32" s="113"/>
      <c r="N32" s="113"/>
      <c r="O32" s="90"/>
      <c r="P32" s="90"/>
      <c r="Q32" s="111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K32" s="108"/>
    </row>
    <row r="33" spans="1:51">
      <c r="A33" s="115"/>
      <c r="B33" s="115"/>
      <c r="C33" s="115"/>
      <c r="D33" s="116"/>
      <c r="E33" s="116"/>
      <c r="F33" s="117"/>
      <c r="G33" s="108"/>
      <c r="H33" s="108"/>
      <c r="I33" s="108"/>
      <c r="J33" s="108"/>
      <c r="K33" s="108"/>
      <c r="L33" s="108"/>
      <c r="M33" s="108"/>
      <c r="N33" s="108"/>
      <c r="O33" s="116"/>
      <c r="P33" s="116"/>
      <c r="Q33" s="11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</row>
    <row r="34" spans="1:51" ht="22.5" customHeight="1">
      <c r="A34" s="118" t="s">
        <v>307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0"/>
      <c r="N34" s="90"/>
      <c r="O34" s="90"/>
      <c r="P34" s="90"/>
      <c r="Q34" s="90"/>
      <c r="R34" s="91"/>
      <c r="S34" s="957"/>
      <c r="T34" s="957"/>
      <c r="U34" s="957"/>
      <c r="V34" s="957"/>
      <c r="W34" s="957"/>
      <c r="X34" s="957"/>
      <c r="Y34" s="957"/>
      <c r="Z34" s="957"/>
      <c r="AA34" s="957"/>
      <c r="AB34" s="957"/>
      <c r="AC34" s="91"/>
      <c r="AD34" s="958"/>
      <c r="AE34" s="957"/>
      <c r="AF34" s="957"/>
      <c r="AG34" s="957"/>
      <c r="AH34" s="957"/>
      <c r="AI34" s="957"/>
      <c r="AJ34" s="113"/>
      <c r="AK34" s="106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s="93" customFormat="1" ht="9" customHeight="1">
      <c r="A35" s="119"/>
      <c r="B35" s="120"/>
      <c r="C35" s="120"/>
      <c r="D35" s="413"/>
      <c r="E35" s="413"/>
      <c r="F35" s="413"/>
      <c r="G35" s="413"/>
      <c r="H35" s="413"/>
      <c r="I35" s="413"/>
      <c r="J35" s="413"/>
      <c r="K35" s="413"/>
      <c r="L35" s="413"/>
      <c r="M35" s="953" t="s">
        <v>0</v>
      </c>
      <c r="N35" s="953"/>
      <c r="O35" s="953"/>
      <c r="P35" s="953"/>
      <c r="Q35" s="953"/>
      <c r="R35" s="413"/>
      <c r="S35" s="953" t="s">
        <v>80</v>
      </c>
      <c r="T35" s="953"/>
      <c r="U35" s="953"/>
      <c r="V35" s="953"/>
      <c r="W35" s="953"/>
      <c r="X35" s="953"/>
      <c r="Y35" s="953"/>
      <c r="Z35" s="953"/>
      <c r="AA35" s="953"/>
      <c r="AB35" s="953"/>
      <c r="AC35" s="121"/>
      <c r="AD35" s="953" t="s">
        <v>81</v>
      </c>
      <c r="AE35" s="953"/>
      <c r="AF35" s="953"/>
      <c r="AG35" s="953"/>
      <c r="AH35" s="953"/>
      <c r="AI35" s="953"/>
      <c r="AJ35" s="953"/>
      <c r="AK35" s="122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</row>
    <row r="36" spans="1:51" s="93" customFormat="1" ht="4.7" hidden="1" customHeight="1">
      <c r="A36" s="119"/>
      <c r="B36" s="120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120"/>
      <c r="P36" s="413"/>
      <c r="Q36" s="413"/>
      <c r="R36" s="413"/>
      <c r="S36" s="413"/>
      <c r="T36" s="413"/>
      <c r="U36" s="413"/>
      <c r="V36" s="413"/>
      <c r="W36" s="413"/>
      <c r="X36" s="413"/>
      <c r="Y36" s="120"/>
      <c r="Z36" s="413"/>
      <c r="AA36" s="413"/>
      <c r="AB36" s="413"/>
      <c r="AC36" s="413"/>
      <c r="AD36" s="413"/>
      <c r="AE36" s="413"/>
      <c r="AF36" s="413"/>
      <c r="AG36" s="413"/>
      <c r="AH36" s="123"/>
      <c r="AI36" s="123"/>
      <c r="AJ36" s="123"/>
      <c r="AK36" s="123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</row>
    <row r="37" spans="1:51" s="93" customFormat="1" ht="4.7" customHeight="1">
      <c r="A37" s="119"/>
      <c r="B37" s="120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120"/>
      <c r="P37" s="413"/>
      <c r="Q37" s="413"/>
      <c r="R37" s="413"/>
      <c r="S37" s="413"/>
      <c r="T37" s="413"/>
      <c r="U37" s="413"/>
      <c r="V37" s="413"/>
      <c r="W37" s="413"/>
      <c r="X37" s="413"/>
      <c r="Y37" s="120"/>
      <c r="Z37" s="413"/>
      <c r="AA37" s="413"/>
      <c r="AB37" s="413"/>
      <c r="AC37" s="413"/>
      <c r="AD37" s="413"/>
      <c r="AE37" s="413"/>
      <c r="AF37" s="413"/>
      <c r="AG37" s="413"/>
      <c r="AH37" s="123"/>
      <c r="AI37" s="123"/>
      <c r="AJ37" s="123"/>
      <c r="AK37" s="123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</row>
    <row r="38" spans="1:51" s="93" customFormat="1" ht="15.75" customHeight="1">
      <c r="A38" s="119"/>
      <c r="B38" s="120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120" t="s">
        <v>308</v>
      </c>
      <c r="P38" s="413"/>
      <c r="Q38" s="413"/>
      <c r="R38" s="413"/>
      <c r="S38" s="413"/>
      <c r="T38" s="413"/>
      <c r="U38" s="413"/>
      <c r="V38" s="413"/>
      <c r="W38" s="413"/>
      <c r="X38" s="413"/>
      <c r="Y38" s="120"/>
      <c r="Z38" s="413"/>
      <c r="AA38" s="413"/>
      <c r="AB38" s="413"/>
      <c r="AC38" s="413"/>
      <c r="AD38" s="413"/>
      <c r="AE38" s="413"/>
      <c r="AF38" s="413"/>
      <c r="AG38" s="413"/>
      <c r="AH38" s="123"/>
      <c r="AI38" s="123"/>
      <c r="AJ38" s="123"/>
      <c r="AK38" s="123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</row>
    <row r="39" spans="1:51">
      <c r="A39" s="12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51"/>
    </row>
    <row r="40" spans="1:51" ht="18.75" customHeight="1">
      <c r="A40" s="947" t="s">
        <v>82</v>
      </c>
      <c r="B40" s="948"/>
      <c r="C40" s="948"/>
      <c r="D40" s="948"/>
      <c r="E40" s="948"/>
      <c r="F40" s="948"/>
      <c r="G40" s="948"/>
      <c r="H40" s="948"/>
      <c r="I40" s="948"/>
      <c r="J40" s="948"/>
      <c r="K40" s="948"/>
      <c r="L40" s="91"/>
      <c r="M40" s="90"/>
      <c r="N40" s="90"/>
      <c r="O40" s="90"/>
      <c r="P40" s="90"/>
      <c r="Q40" s="90"/>
      <c r="R40" s="91"/>
      <c r="S40" s="949"/>
      <c r="T40" s="949"/>
      <c r="U40" s="949"/>
      <c r="V40" s="949"/>
      <c r="W40" s="949"/>
      <c r="X40" s="949"/>
      <c r="Y40" s="949"/>
      <c r="Z40" s="949"/>
      <c r="AA40" s="949"/>
      <c r="AB40" s="949"/>
      <c r="AC40" s="91"/>
      <c r="AD40" s="950"/>
      <c r="AE40" s="949"/>
      <c r="AF40" s="949"/>
      <c r="AG40" s="949"/>
      <c r="AH40" s="949"/>
      <c r="AI40" s="949"/>
      <c r="AJ40" s="113"/>
    </row>
    <row r="41" spans="1:51" ht="20.25" customHeight="1">
      <c r="A41" s="948"/>
      <c r="B41" s="948"/>
      <c r="C41" s="948"/>
      <c r="D41" s="948"/>
      <c r="E41" s="948"/>
      <c r="F41" s="948"/>
      <c r="G41" s="948"/>
      <c r="H41" s="948"/>
      <c r="I41" s="948"/>
      <c r="J41" s="948"/>
      <c r="K41" s="948"/>
      <c r="L41" s="951" t="s">
        <v>83</v>
      </c>
      <c r="M41" s="952"/>
      <c r="N41" s="952"/>
      <c r="O41" s="952"/>
      <c r="P41" s="952"/>
      <c r="Q41" s="952"/>
      <c r="R41" s="952"/>
      <c r="S41" s="953" t="s">
        <v>84</v>
      </c>
      <c r="T41" s="953"/>
      <c r="U41" s="953"/>
      <c r="V41" s="953"/>
      <c r="W41" s="953"/>
      <c r="X41" s="953"/>
      <c r="Y41" s="953"/>
      <c r="Z41" s="953"/>
      <c r="AA41" s="953"/>
      <c r="AB41" s="953"/>
      <c r="AC41" s="121"/>
      <c r="AD41" s="953" t="s">
        <v>81</v>
      </c>
      <c r="AE41" s="953"/>
      <c r="AF41" s="953"/>
      <c r="AG41" s="953"/>
      <c r="AH41" s="953"/>
      <c r="AI41" s="953"/>
      <c r="AJ41" s="953"/>
    </row>
    <row r="42" spans="1:51">
      <c r="A42" s="948"/>
      <c r="B42" s="948"/>
      <c r="C42" s="948"/>
      <c r="D42" s="948"/>
      <c r="E42" s="948"/>
      <c r="F42" s="948"/>
      <c r="G42" s="948"/>
      <c r="H42" s="948"/>
      <c r="I42" s="948"/>
      <c r="J42" s="948"/>
      <c r="K42" s="948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51"/>
    </row>
    <row r="43" spans="1:51" s="51" customFormat="1">
      <c r="A43" s="12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1:51" s="51" customFormat="1">
      <c r="A44" s="12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1:51" s="51" customFormat="1">
      <c r="A45" s="125"/>
    </row>
    <row r="46" spans="1:51" s="51" customFormat="1">
      <c r="A46" s="125"/>
    </row>
    <row r="47" spans="1:51" s="51" customFormat="1">
      <c r="A47" s="125"/>
    </row>
    <row r="48" spans="1:51" s="51" customFormat="1">
      <c r="A48" s="125"/>
    </row>
    <row r="49" spans="1:1" s="51" customFormat="1">
      <c r="A49" s="125"/>
    </row>
    <row r="50" spans="1:1" s="51" customFormat="1">
      <c r="A50" s="125"/>
    </row>
    <row r="51" spans="1:1" s="51" customFormat="1">
      <c r="A51" s="125"/>
    </row>
    <row r="52" spans="1:1" s="51" customFormat="1">
      <c r="A52" s="125"/>
    </row>
    <row r="53" spans="1:1" s="51" customFormat="1">
      <c r="A53" s="125"/>
    </row>
    <row r="54" spans="1:1" s="51" customFormat="1">
      <c r="A54" s="125"/>
    </row>
    <row r="55" spans="1:1" s="51" customFormat="1">
      <c r="A55" s="125"/>
    </row>
    <row r="56" spans="1:1" s="51" customFormat="1">
      <c r="A56" s="125"/>
    </row>
    <row r="57" spans="1:1" s="51" customFormat="1">
      <c r="A57" s="125"/>
    </row>
    <row r="58" spans="1:1" s="51" customFormat="1">
      <c r="A58" s="125"/>
    </row>
    <row r="59" spans="1:1" s="51" customFormat="1">
      <c r="A59" s="125"/>
    </row>
    <row r="60" spans="1:1" s="51" customFormat="1">
      <c r="A60" s="125"/>
    </row>
    <row r="61" spans="1:1" s="51" customFormat="1">
      <c r="A61" s="125"/>
    </row>
    <row r="62" spans="1:1" s="51" customFormat="1">
      <c r="A62" s="125"/>
    </row>
    <row r="63" spans="1:1" s="51" customFormat="1">
      <c r="A63" s="125"/>
    </row>
    <row r="64" spans="1:1" s="51" customFormat="1">
      <c r="A64" s="125"/>
    </row>
    <row r="65" spans="1:1" s="51" customFormat="1">
      <c r="A65" s="125"/>
    </row>
    <row r="66" spans="1:1" s="51" customFormat="1">
      <c r="A66" s="125"/>
    </row>
    <row r="67" spans="1:1" s="51" customFormat="1">
      <c r="A67" s="125"/>
    </row>
    <row r="68" spans="1:1" s="51" customFormat="1">
      <c r="A68" s="125"/>
    </row>
    <row r="69" spans="1:1" s="51" customFormat="1">
      <c r="A69" s="125"/>
    </row>
    <row r="70" spans="1:1" s="51" customFormat="1">
      <c r="A70" s="125"/>
    </row>
    <row r="71" spans="1:1" s="51" customFormat="1">
      <c r="A71" s="125"/>
    </row>
    <row r="72" spans="1:1" s="51" customFormat="1">
      <c r="A72" s="125"/>
    </row>
    <row r="73" spans="1:1" s="51" customFormat="1">
      <c r="A73" s="125"/>
    </row>
    <row r="74" spans="1:1" s="51" customFormat="1">
      <c r="A74" s="125"/>
    </row>
    <row r="75" spans="1:1" s="51" customFormat="1">
      <c r="A75" s="125"/>
    </row>
    <row r="76" spans="1:1" s="51" customFormat="1">
      <c r="A76" s="125"/>
    </row>
    <row r="77" spans="1:1" s="51" customFormat="1">
      <c r="A77" s="125"/>
    </row>
    <row r="78" spans="1:1" s="51" customFormat="1">
      <c r="A78" s="125"/>
    </row>
    <row r="79" spans="1:1" s="51" customFormat="1">
      <c r="A79" s="125"/>
    </row>
    <row r="80" spans="1:1" s="51" customFormat="1">
      <c r="A80" s="125"/>
    </row>
    <row r="81" spans="1:1" s="51" customFormat="1">
      <c r="A81" s="125"/>
    </row>
    <row r="82" spans="1:1" s="51" customFormat="1">
      <c r="A82" s="125"/>
    </row>
    <row r="83" spans="1:1" s="51" customFormat="1">
      <c r="A83" s="125"/>
    </row>
    <row r="84" spans="1:1" s="51" customFormat="1">
      <c r="A84" s="125"/>
    </row>
    <row r="85" spans="1:1" s="51" customFormat="1">
      <c r="A85" s="125"/>
    </row>
    <row r="86" spans="1:1" s="51" customFormat="1">
      <c r="A86" s="125"/>
    </row>
    <row r="87" spans="1:1" s="51" customFormat="1">
      <c r="A87" s="125"/>
    </row>
    <row r="88" spans="1:1" s="51" customFormat="1">
      <c r="A88" s="125"/>
    </row>
    <row r="89" spans="1:1" s="51" customFormat="1">
      <c r="A89" s="125"/>
    </row>
    <row r="90" spans="1:1" s="51" customFormat="1">
      <c r="A90" s="125"/>
    </row>
    <row r="91" spans="1:1" s="51" customFormat="1">
      <c r="A91" s="125"/>
    </row>
    <row r="92" spans="1:1" s="51" customFormat="1">
      <c r="A92" s="125"/>
    </row>
    <row r="93" spans="1:1" s="51" customFormat="1">
      <c r="A93" s="125"/>
    </row>
    <row r="94" spans="1:1" s="51" customFormat="1">
      <c r="A94" s="125"/>
    </row>
    <row r="95" spans="1:1" s="51" customFormat="1">
      <c r="A95" s="125"/>
    </row>
    <row r="96" spans="1:1" s="51" customFormat="1">
      <c r="A96" s="125"/>
    </row>
    <row r="97" spans="1:1" s="51" customFormat="1">
      <c r="A97" s="125"/>
    </row>
    <row r="98" spans="1:1" s="51" customFormat="1">
      <c r="A98" s="125"/>
    </row>
    <row r="99" spans="1:1" s="51" customFormat="1">
      <c r="A99" s="125"/>
    </row>
    <row r="100" spans="1:1" s="51" customFormat="1">
      <c r="A100" s="125"/>
    </row>
    <row r="101" spans="1:1" s="51" customFormat="1">
      <c r="A101" s="125"/>
    </row>
    <row r="102" spans="1:1" s="51" customFormat="1">
      <c r="A102" s="125"/>
    </row>
    <row r="103" spans="1:1" s="51" customFormat="1">
      <c r="A103" s="125"/>
    </row>
    <row r="104" spans="1:1" s="51" customFormat="1">
      <c r="A104" s="125"/>
    </row>
    <row r="105" spans="1:1" s="51" customFormat="1">
      <c r="A105" s="125"/>
    </row>
    <row r="106" spans="1:1" s="51" customFormat="1">
      <c r="A106" s="125"/>
    </row>
    <row r="107" spans="1:1" s="51" customFormat="1">
      <c r="A107" s="125"/>
    </row>
    <row r="108" spans="1:1" s="51" customFormat="1">
      <c r="A108" s="125"/>
    </row>
    <row r="109" spans="1:1" s="51" customFormat="1">
      <c r="A109" s="125"/>
    </row>
    <row r="110" spans="1:1" s="51" customFormat="1">
      <c r="A110" s="125"/>
    </row>
    <row r="111" spans="1:1" s="51" customFormat="1">
      <c r="A111" s="125"/>
    </row>
    <row r="112" spans="1:1" s="51" customFormat="1">
      <c r="A112" s="125"/>
    </row>
    <row r="113" spans="1:1" s="51" customFormat="1">
      <c r="A113" s="125"/>
    </row>
    <row r="114" spans="1:1" s="51" customFormat="1">
      <c r="A114" s="125"/>
    </row>
    <row r="115" spans="1:1" s="51" customFormat="1">
      <c r="A115" s="125"/>
    </row>
    <row r="116" spans="1:1" s="51" customFormat="1">
      <c r="A116" s="125"/>
    </row>
    <row r="117" spans="1:1" s="51" customFormat="1">
      <c r="A117" s="125"/>
    </row>
    <row r="118" spans="1:1" s="51" customFormat="1">
      <c r="A118" s="125"/>
    </row>
    <row r="119" spans="1:1" s="51" customFormat="1">
      <c r="A119" s="125"/>
    </row>
    <row r="120" spans="1:1" s="51" customFormat="1">
      <c r="A120" s="125"/>
    </row>
    <row r="121" spans="1:1" s="51" customFormat="1">
      <c r="A121" s="125"/>
    </row>
    <row r="122" spans="1:1" s="51" customFormat="1">
      <c r="A122" s="125"/>
    </row>
    <row r="123" spans="1:1" s="51" customFormat="1">
      <c r="A123" s="125"/>
    </row>
    <row r="124" spans="1:1" s="51" customFormat="1">
      <c r="A124" s="125"/>
    </row>
    <row r="125" spans="1:1" s="51" customFormat="1">
      <c r="A125" s="125"/>
    </row>
    <row r="126" spans="1:1" s="51" customFormat="1">
      <c r="A126" s="125"/>
    </row>
    <row r="127" spans="1:1" s="51" customFormat="1">
      <c r="A127" s="125"/>
    </row>
    <row r="128" spans="1:1" s="51" customFormat="1">
      <c r="A128" s="125"/>
    </row>
    <row r="129" spans="1:1" s="51" customFormat="1">
      <c r="A129" s="125"/>
    </row>
    <row r="130" spans="1:1" s="51" customFormat="1">
      <c r="A130" s="125"/>
    </row>
    <row r="131" spans="1:1" s="51" customFormat="1">
      <c r="A131" s="125"/>
    </row>
    <row r="132" spans="1:1" s="51" customFormat="1">
      <c r="A132" s="125"/>
    </row>
    <row r="133" spans="1:1" s="51" customFormat="1">
      <c r="A133" s="125"/>
    </row>
  </sheetData>
  <sheetProtection formatRows="0" insertRows="0" selectLockedCells="1"/>
  <mergeCells count="33">
    <mergeCell ref="A40:K42"/>
    <mergeCell ref="S40:AB40"/>
    <mergeCell ref="AD40:AI40"/>
    <mergeCell ref="L41:R41"/>
    <mergeCell ref="S41:AB41"/>
    <mergeCell ref="AD41:AJ41"/>
    <mergeCell ref="G31:N31"/>
    <mergeCell ref="R31:Y31"/>
    <mergeCell ref="S34:AB34"/>
    <mergeCell ref="AD34:AI34"/>
    <mergeCell ref="M35:Q35"/>
    <mergeCell ref="S35:AB35"/>
    <mergeCell ref="AD35:AJ35"/>
    <mergeCell ref="G30:N30"/>
    <mergeCell ref="R30:Y30"/>
    <mergeCell ref="G8:AI8"/>
    <mergeCell ref="B12:F12"/>
    <mergeCell ref="H12:AI12"/>
    <mergeCell ref="B13:F13"/>
    <mergeCell ref="H13:AI13"/>
    <mergeCell ref="S15:V15"/>
    <mergeCell ref="AF15:AI15"/>
    <mergeCell ref="G17:X17"/>
    <mergeCell ref="Z17:AI17"/>
    <mergeCell ref="G18:X18"/>
    <mergeCell ref="Z18:AI18"/>
    <mergeCell ref="G20:AI20"/>
    <mergeCell ref="G6:AI6"/>
    <mergeCell ref="I1:AK1"/>
    <mergeCell ref="A2:AK2"/>
    <mergeCell ref="A4:K4"/>
    <mergeCell ref="L4:AI4"/>
    <mergeCell ref="G5:AI5"/>
  </mergeCells>
  <pageMargins left="0.94488188976377963" right="0.31496062992125984" top="0.51181102362204722" bottom="0.27559055118110237" header="0.19685039370078741" footer="0.19685039370078741"/>
  <pageSetup paperSize="9" scale="90" fitToWidth="2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76200</xdr:rowOff>
                  </from>
                  <to>
                    <xdr:col>1</xdr:col>
                    <xdr:colOff>57150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13</xdr:col>
                    <xdr:colOff>171450</xdr:colOff>
                    <xdr:row>25</xdr:row>
                    <xdr:rowOff>95250</xdr:rowOff>
                  </from>
                  <to>
                    <xdr:col>15</xdr:col>
                    <xdr:colOff>66675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85725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Y125"/>
  <sheetViews>
    <sheetView showGridLines="0" view="pageBreakPreview" zoomScale="120" zoomScaleNormal="120" zoomScaleSheetLayoutView="120" zoomScalePageLayoutView="25" workbookViewId="0">
      <selection sqref="A1:AK1"/>
    </sheetView>
  </sheetViews>
  <sheetFormatPr defaultColWidth="2.5703125" defaultRowHeight="12.75"/>
  <cols>
    <col min="1" max="1" width="3.28515625" style="126" customWidth="1"/>
    <col min="2" max="2" width="1.85546875" style="52" customWidth="1"/>
    <col min="3" max="3" width="2.85546875" style="52" customWidth="1"/>
    <col min="4" max="23" width="2.7109375" style="52" customWidth="1"/>
    <col min="24" max="24" width="5" style="52" customWidth="1"/>
    <col min="25" max="35" width="2.7109375" style="52" customWidth="1"/>
    <col min="36" max="36" width="0.5703125" style="52" customWidth="1"/>
    <col min="37" max="37" width="0.5703125" style="51" customWidth="1"/>
    <col min="38" max="38" width="1.140625" style="51" customWidth="1"/>
    <col min="39" max="51" width="2.5703125" style="51" customWidth="1"/>
    <col min="52" max="16384" width="2.5703125" style="52"/>
  </cols>
  <sheetData>
    <row r="1" spans="1:51" ht="24.75" customHeight="1">
      <c r="A1" s="981" t="s">
        <v>309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</row>
    <row r="2" spans="1:51" ht="41.25" customHeight="1">
      <c r="A2" s="49"/>
      <c r="B2" s="50"/>
      <c r="C2" s="50"/>
      <c r="D2" s="50"/>
      <c r="E2" s="50"/>
      <c r="F2" s="50"/>
      <c r="G2" s="50"/>
      <c r="H2" s="50"/>
      <c r="I2" s="968" t="s">
        <v>310</v>
      </c>
      <c r="J2" s="969"/>
      <c r="K2" s="969"/>
      <c r="L2" s="969"/>
      <c r="M2" s="969"/>
      <c r="N2" s="969"/>
      <c r="O2" s="969"/>
      <c r="P2" s="969"/>
      <c r="Q2" s="969"/>
      <c r="R2" s="969"/>
      <c r="S2" s="969"/>
      <c r="T2" s="969"/>
      <c r="U2" s="969"/>
      <c r="V2" s="969"/>
      <c r="W2" s="969"/>
      <c r="X2" s="969"/>
      <c r="Y2" s="969"/>
      <c r="Z2" s="969"/>
      <c r="AA2" s="969"/>
      <c r="AB2" s="969"/>
      <c r="AC2" s="969"/>
      <c r="AD2" s="969"/>
      <c r="AE2" s="969"/>
      <c r="AF2" s="969"/>
      <c r="AG2" s="969"/>
      <c r="AH2" s="969"/>
      <c r="AI2" s="969"/>
      <c r="AJ2" s="969"/>
      <c r="AK2" s="969"/>
    </row>
    <row r="3" spans="1:51" ht="23.25" customHeight="1">
      <c r="A3" s="970" t="s">
        <v>60</v>
      </c>
      <c r="B3" s="970"/>
      <c r="C3" s="970"/>
      <c r="D3" s="970"/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970"/>
      <c r="Q3" s="970"/>
      <c r="R3" s="970"/>
      <c r="S3" s="970"/>
      <c r="T3" s="970"/>
      <c r="U3" s="970"/>
      <c r="V3" s="970"/>
      <c r="W3" s="970"/>
      <c r="X3" s="970"/>
      <c r="Y3" s="970"/>
      <c r="Z3" s="970"/>
      <c r="AA3" s="970"/>
      <c r="AB3" s="970"/>
      <c r="AC3" s="970"/>
      <c r="AD3" s="970"/>
      <c r="AE3" s="970"/>
      <c r="AF3" s="970"/>
      <c r="AG3" s="970"/>
      <c r="AH3" s="970"/>
      <c r="AI3" s="970"/>
      <c r="AJ3" s="970"/>
      <c r="AK3" s="970"/>
      <c r="AL3" s="53"/>
    </row>
    <row r="4" spans="1:51" ht="2.85" hidden="1" customHeight="1">
      <c r="A4" s="54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51" ht="34.5" customHeight="1">
      <c r="A5" s="971" t="s">
        <v>311</v>
      </c>
      <c r="B5" s="971"/>
      <c r="C5" s="971"/>
      <c r="D5" s="971"/>
      <c r="E5" s="971"/>
      <c r="F5" s="971"/>
      <c r="G5" s="971"/>
      <c r="H5" s="971"/>
      <c r="I5" s="971"/>
      <c r="J5" s="971"/>
      <c r="K5" s="971"/>
      <c r="L5" s="982"/>
      <c r="M5" s="983"/>
      <c r="N5" s="983"/>
      <c r="O5" s="983"/>
      <c r="P5" s="983"/>
      <c r="Q5" s="983"/>
      <c r="R5" s="983"/>
      <c r="S5" s="983"/>
      <c r="T5" s="983"/>
      <c r="U5" s="983"/>
      <c r="V5" s="983"/>
      <c r="W5" s="983"/>
      <c r="X5" s="983"/>
      <c r="Y5" s="983"/>
      <c r="Z5" s="983"/>
      <c r="AA5" s="983"/>
      <c r="AB5" s="983"/>
      <c r="AC5" s="983"/>
      <c r="AD5" s="983"/>
      <c r="AE5" s="983"/>
      <c r="AF5" s="983"/>
      <c r="AG5" s="983"/>
      <c r="AH5" s="983"/>
      <c r="AI5" s="983"/>
      <c r="AJ5" s="56"/>
      <c r="AK5" s="56"/>
    </row>
    <row r="6" spans="1:51" s="60" customFormat="1" ht="9.75" customHeight="1">
      <c r="A6" s="57"/>
      <c r="B6" s="57"/>
      <c r="C6" s="57"/>
      <c r="D6" s="57"/>
      <c r="E6" s="57"/>
      <c r="F6" s="57"/>
      <c r="G6" s="972" t="s">
        <v>312</v>
      </c>
      <c r="H6" s="972"/>
      <c r="I6" s="972"/>
      <c r="J6" s="972"/>
      <c r="K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  <c r="AA6" s="972"/>
      <c r="AB6" s="972"/>
      <c r="AC6" s="972"/>
      <c r="AD6" s="972"/>
      <c r="AE6" s="972"/>
      <c r="AF6" s="972"/>
      <c r="AG6" s="972"/>
      <c r="AH6" s="972"/>
      <c r="AI6" s="972"/>
      <c r="AJ6" s="58"/>
      <c r="AK6" s="58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ht="18.75" customHeight="1">
      <c r="A7" s="973" t="s">
        <v>313</v>
      </c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973"/>
      <c r="AD7" s="973"/>
      <c r="AE7" s="973"/>
      <c r="AF7" s="973"/>
      <c r="AG7" s="973"/>
      <c r="AH7" s="973"/>
      <c r="AI7" s="973"/>
      <c r="AJ7" s="56"/>
      <c r="AK7" s="56"/>
    </row>
    <row r="8" spans="1:51" ht="3.2" customHeight="1">
      <c r="A8" s="61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</row>
    <row r="9" spans="1:51" ht="15.75" customHeight="1">
      <c r="A9" s="285"/>
      <c r="B9" s="974"/>
      <c r="C9" s="974"/>
      <c r="D9" s="974"/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4"/>
      <c r="AE9" s="974"/>
      <c r="AF9" s="974"/>
      <c r="AG9" s="974"/>
      <c r="AH9" s="974"/>
      <c r="AI9" s="285"/>
      <c r="AJ9" s="56"/>
      <c r="AK9" s="56"/>
    </row>
    <row r="10" spans="1:51" ht="4.5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51" ht="17.25" customHeight="1">
      <c r="A11" s="973" t="s">
        <v>314</v>
      </c>
      <c r="B11" s="973"/>
      <c r="C11" s="973"/>
      <c r="D11" s="973"/>
      <c r="E11" s="973"/>
      <c r="F11" s="973"/>
      <c r="G11" s="973"/>
      <c r="H11" s="973"/>
      <c r="I11" s="973"/>
      <c r="J11" s="973"/>
      <c r="K11" s="973"/>
      <c r="L11" s="973"/>
      <c r="M11" s="973"/>
      <c r="N11" s="973"/>
      <c r="O11" s="973"/>
      <c r="P11" s="973"/>
      <c r="Q11" s="973"/>
      <c r="R11" s="973"/>
      <c r="S11" s="973"/>
      <c r="T11" s="973"/>
      <c r="U11" s="973"/>
      <c r="V11" s="973"/>
      <c r="W11" s="973"/>
      <c r="X11" s="973"/>
      <c r="Y11" s="973"/>
      <c r="Z11" s="973"/>
      <c r="AA11" s="973"/>
      <c r="AB11" s="973"/>
      <c r="AC11" s="973"/>
      <c r="AD11" s="973"/>
      <c r="AE11" s="973"/>
      <c r="AF11" s="973"/>
      <c r="AG11" s="973"/>
      <c r="AH11" s="973"/>
      <c r="AI11" s="973"/>
      <c r="AJ11" s="56"/>
      <c r="AK11" s="56"/>
    </row>
    <row r="12" spans="1:51" ht="3.2" customHeight="1">
      <c r="A12" s="61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51" ht="15.75" customHeight="1">
      <c r="A13" s="61"/>
      <c r="B13" s="960"/>
      <c r="C13" s="961"/>
      <c r="D13" s="961"/>
      <c r="E13" s="961"/>
      <c r="F13" s="961"/>
      <c r="G13" s="64"/>
      <c r="H13" s="959"/>
      <c r="I13" s="961"/>
      <c r="J13" s="961"/>
      <c r="K13" s="961"/>
      <c r="L13" s="961"/>
      <c r="M13" s="961"/>
      <c r="N13" s="961"/>
      <c r="O13" s="961"/>
      <c r="P13" s="961"/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A13" s="961"/>
      <c r="AB13" s="961"/>
      <c r="AC13" s="961"/>
      <c r="AD13" s="961"/>
      <c r="AE13" s="961"/>
      <c r="AF13" s="961"/>
      <c r="AG13" s="961"/>
      <c r="AH13" s="961"/>
      <c r="AI13" s="961"/>
      <c r="AJ13" s="56"/>
      <c r="AK13" s="56"/>
    </row>
    <row r="14" spans="1:51" ht="17.25" customHeight="1">
      <c r="A14" s="61"/>
      <c r="B14" s="962" t="s">
        <v>65</v>
      </c>
      <c r="C14" s="963"/>
      <c r="D14" s="963"/>
      <c r="E14" s="963"/>
      <c r="F14" s="963"/>
      <c r="G14" s="65"/>
      <c r="H14" s="964" t="s">
        <v>315</v>
      </c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3"/>
      <c r="AH14" s="963"/>
      <c r="AI14" s="963"/>
      <c r="AJ14" s="56"/>
      <c r="AK14" s="56"/>
    </row>
    <row r="15" spans="1:51" s="70" customFormat="1" ht="18" customHeight="1">
      <c r="A15" s="286"/>
      <c r="B15" s="965"/>
      <c r="C15" s="965"/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965"/>
      <c r="Q15" s="965"/>
      <c r="R15" s="965"/>
      <c r="S15" s="965"/>
      <c r="T15" s="965"/>
      <c r="U15" s="965"/>
      <c r="V15" s="965"/>
      <c r="W15" s="965"/>
      <c r="X15" s="965"/>
      <c r="Y15" s="965"/>
      <c r="Z15" s="965"/>
      <c r="AA15" s="965"/>
      <c r="AB15" s="965"/>
      <c r="AC15" s="965"/>
      <c r="AD15" s="965"/>
      <c r="AE15" s="965"/>
      <c r="AF15" s="965"/>
      <c r="AG15" s="965"/>
      <c r="AH15" s="965"/>
      <c r="AI15" s="965"/>
      <c r="AJ15" s="68"/>
      <c r="AK15" s="68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</row>
    <row r="16" spans="1:51" s="51" customFormat="1" ht="3.2" hidden="1" customHeight="1">
      <c r="A16" s="83"/>
      <c r="B16" s="79"/>
      <c r="C16" s="79"/>
      <c r="D16" s="79"/>
      <c r="E16" s="79"/>
      <c r="F16" s="79"/>
      <c r="G16" s="79"/>
      <c r="H16" s="80"/>
      <c r="I16" s="79"/>
      <c r="J16" s="79"/>
      <c r="K16" s="79"/>
      <c r="L16" s="79"/>
      <c r="M16" s="79"/>
      <c r="N16" s="80"/>
      <c r="O16" s="79"/>
      <c r="P16" s="79"/>
      <c r="Q16" s="79"/>
      <c r="R16" s="79"/>
      <c r="S16" s="79"/>
      <c r="T16" s="79"/>
      <c r="U16" s="79"/>
      <c r="V16" s="79"/>
      <c r="W16" s="79"/>
      <c r="X16" s="80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56"/>
    </row>
    <row r="17" spans="1:51" s="51" customFormat="1" ht="15" customHeight="1">
      <c r="A17" s="61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1:51" s="84" customFormat="1" ht="21" customHeight="1">
      <c r="A18" s="975"/>
      <c r="B18" s="975"/>
      <c r="C18" s="975"/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975"/>
      <c r="T18" s="975"/>
      <c r="U18" s="975"/>
      <c r="V18" s="975"/>
      <c r="W18" s="975"/>
      <c r="X18" s="975"/>
      <c r="Y18" s="975"/>
      <c r="Z18" s="975"/>
      <c r="AA18" s="975"/>
      <c r="AB18" s="975"/>
      <c r="AC18" s="975"/>
      <c r="AD18" s="975"/>
      <c r="AE18" s="975"/>
      <c r="AF18" s="975"/>
      <c r="AG18" s="975"/>
      <c r="AH18" s="975"/>
      <c r="AI18" s="975"/>
      <c r="AJ18" s="267"/>
      <c r="AK18" s="267"/>
    </row>
    <row r="19" spans="1:51" s="85" customFormat="1" ht="9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48"/>
    </row>
    <row r="20" spans="1:51" s="85" customFormat="1" ht="49.5" customHeight="1">
      <c r="A20" s="976" t="s">
        <v>316</v>
      </c>
      <c r="B20" s="976"/>
      <c r="C20" s="976"/>
      <c r="D20" s="976"/>
      <c r="E20" s="976"/>
      <c r="F20" s="976"/>
      <c r="G20" s="976"/>
      <c r="H20" s="976"/>
      <c r="I20" s="976"/>
      <c r="J20" s="976"/>
      <c r="K20" s="976"/>
      <c r="L20" s="976"/>
      <c r="M20" s="976"/>
      <c r="N20" s="976"/>
      <c r="O20" s="976"/>
      <c r="P20" s="976"/>
      <c r="Q20" s="976"/>
      <c r="R20" s="976"/>
      <c r="S20" s="976"/>
      <c r="T20" s="976"/>
      <c r="U20" s="976"/>
      <c r="V20" s="976"/>
      <c r="W20" s="976"/>
      <c r="X20" s="976"/>
      <c r="Y20" s="976"/>
      <c r="Z20" s="976"/>
      <c r="AA20" s="976"/>
      <c r="AB20" s="976"/>
      <c r="AC20" s="976"/>
      <c r="AD20" s="976"/>
      <c r="AE20" s="976"/>
      <c r="AF20" s="976"/>
      <c r="AG20" s="976"/>
      <c r="AH20" s="976"/>
      <c r="AI20" s="976"/>
      <c r="AJ20" s="976"/>
      <c r="AK20" s="48"/>
    </row>
    <row r="21" spans="1:51" s="93" customFormat="1" hidden="1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1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91"/>
      <c r="AL21" s="92"/>
      <c r="AM21" s="84"/>
    </row>
    <row r="22" spans="1:51" s="100" customFormat="1" ht="6.75" customHeight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</row>
    <row r="23" spans="1:51" s="100" customFormat="1" ht="51" customHeight="1">
      <c r="A23" s="977" t="s">
        <v>317</v>
      </c>
      <c r="B23" s="978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8"/>
      <c r="AI23" s="978"/>
      <c r="AJ23" s="979"/>
      <c r="AK23" s="99"/>
    </row>
    <row r="24" spans="1:51" s="93" customFormat="1" ht="21.75" customHeight="1">
      <c r="A24" s="101" t="s">
        <v>318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980"/>
      <c r="L24" s="980"/>
      <c r="M24" s="980"/>
      <c r="N24" s="980"/>
      <c r="O24" s="980"/>
      <c r="P24" s="980"/>
      <c r="Q24" s="980"/>
      <c r="R24" s="980"/>
      <c r="S24" s="980"/>
      <c r="T24" s="980"/>
      <c r="U24" s="980"/>
      <c r="V24" s="980"/>
      <c r="W24" s="980"/>
      <c r="X24" s="980"/>
      <c r="Y24" s="980"/>
      <c r="Z24" s="980"/>
      <c r="AA24" s="980"/>
      <c r="AB24" s="980"/>
      <c r="AC24" s="980"/>
      <c r="AD24" s="980"/>
      <c r="AE24" s="980"/>
      <c r="AF24" s="980"/>
      <c r="AG24" s="980"/>
      <c r="AH24" s="980"/>
      <c r="AI24" s="980"/>
      <c r="AJ24" s="103"/>
      <c r="AK24" s="91"/>
      <c r="AL24" s="84"/>
      <c r="AM24" s="84"/>
    </row>
    <row r="25" spans="1:51" s="93" customFormat="1" ht="8.25" customHeight="1">
      <c r="A25" s="287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288"/>
      <c r="AK25" s="91"/>
      <c r="AL25" s="84"/>
      <c r="AM25" s="84"/>
    </row>
    <row r="26" spans="1:51" s="93" customFormat="1" ht="21" customHeight="1">
      <c r="A26" s="104"/>
      <c r="B26" s="91"/>
      <c r="C26" s="91"/>
      <c r="D26" s="91"/>
      <c r="E26" s="91"/>
      <c r="F26" s="105" t="s">
        <v>77</v>
      </c>
      <c r="G26" s="954"/>
      <c r="H26" s="954"/>
      <c r="I26" s="954"/>
      <c r="J26" s="954"/>
      <c r="K26" s="954"/>
      <c r="L26" s="954"/>
      <c r="M26" s="954"/>
      <c r="N26" s="954"/>
      <c r="O26" s="91"/>
      <c r="P26" s="91"/>
      <c r="Q26" s="105" t="s">
        <v>79</v>
      </c>
      <c r="R26" s="954"/>
      <c r="S26" s="954"/>
      <c r="T26" s="954"/>
      <c r="U26" s="954"/>
      <c r="V26" s="954"/>
      <c r="W26" s="954"/>
      <c r="X26" s="954"/>
      <c r="Y26" s="954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7"/>
      <c r="AK26" s="108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</row>
    <row r="27" spans="1:51" ht="30.75" customHeight="1">
      <c r="A27" s="110"/>
      <c r="B27" s="90"/>
      <c r="C27" s="90"/>
      <c r="D27" s="90"/>
      <c r="E27" s="90"/>
      <c r="F27" s="111"/>
      <c r="G27" s="112"/>
      <c r="H27" s="113"/>
      <c r="I27" s="113"/>
      <c r="J27" s="113"/>
      <c r="K27" s="113"/>
      <c r="L27" s="113"/>
      <c r="M27" s="113"/>
      <c r="N27" s="113"/>
      <c r="O27" s="90"/>
      <c r="P27" s="90"/>
      <c r="Q27" s="111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  <c r="AK27" s="108"/>
    </row>
    <row r="28" spans="1:51">
      <c r="A28" s="115"/>
      <c r="B28" s="115"/>
      <c r="C28" s="115"/>
      <c r="D28" s="116"/>
      <c r="E28" s="116"/>
      <c r="F28" s="117"/>
      <c r="G28" s="108"/>
      <c r="H28" s="108"/>
      <c r="I28" s="108"/>
      <c r="J28" s="108"/>
      <c r="K28" s="108"/>
      <c r="L28" s="108"/>
      <c r="M28" s="108"/>
      <c r="N28" s="108"/>
      <c r="O28" s="116"/>
      <c r="P28" s="116"/>
      <c r="Q28" s="117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1:51" ht="22.5" customHeight="1">
      <c r="A29" s="118" t="s">
        <v>161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0"/>
      <c r="N29" s="90"/>
      <c r="O29" s="90"/>
      <c r="P29" s="90"/>
      <c r="Q29" s="90"/>
      <c r="R29" s="91"/>
      <c r="S29" s="957"/>
      <c r="T29" s="957"/>
      <c r="U29" s="957"/>
      <c r="V29" s="957"/>
      <c r="W29" s="957"/>
      <c r="X29" s="957"/>
      <c r="Y29" s="957"/>
      <c r="Z29" s="957"/>
      <c r="AA29" s="957"/>
      <c r="AB29" s="957"/>
      <c r="AC29" s="91"/>
      <c r="AD29" s="958"/>
      <c r="AE29" s="957"/>
      <c r="AF29" s="957"/>
      <c r="AG29" s="957"/>
      <c r="AH29" s="957"/>
      <c r="AI29" s="957"/>
      <c r="AJ29" s="113"/>
      <c r="AK29" s="106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</row>
    <row r="30" spans="1:51" s="93" customFormat="1" ht="9" customHeight="1">
      <c r="A30" s="119"/>
      <c r="B30" s="120"/>
      <c r="C30" s="120"/>
      <c r="D30" s="266"/>
      <c r="E30" s="266"/>
      <c r="F30" s="266"/>
      <c r="G30" s="266"/>
      <c r="H30" s="266"/>
      <c r="I30" s="266"/>
      <c r="J30" s="266"/>
      <c r="K30" s="266"/>
      <c r="L30" s="266"/>
      <c r="M30" s="953" t="s">
        <v>0</v>
      </c>
      <c r="N30" s="953"/>
      <c r="O30" s="953"/>
      <c r="P30" s="953"/>
      <c r="Q30" s="953"/>
      <c r="R30" s="266"/>
      <c r="S30" s="953" t="s">
        <v>80</v>
      </c>
      <c r="T30" s="953"/>
      <c r="U30" s="953"/>
      <c r="V30" s="953"/>
      <c r="W30" s="953"/>
      <c r="X30" s="953"/>
      <c r="Y30" s="953"/>
      <c r="Z30" s="953"/>
      <c r="AA30" s="953"/>
      <c r="AB30" s="953"/>
      <c r="AC30" s="121"/>
      <c r="AD30" s="953" t="s">
        <v>81</v>
      </c>
      <c r="AE30" s="953"/>
      <c r="AF30" s="953"/>
      <c r="AG30" s="953"/>
      <c r="AH30" s="953"/>
      <c r="AI30" s="953"/>
      <c r="AJ30" s="953"/>
      <c r="AK30" s="122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</row>
    <row r="31" spans="1:51" s="93" customFormat="1" ht="4.7" hidden="1" customHeight="1">
      <c r="A31" s="119"/>
      <c r="B31" s="120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120"/>
      <c r="P31" s="266"/>
      <c r="Q31" s="266"/>
      <c r="R31" s="266"/>
      <c r="S31" s="266"/>
      <c r="T31" s="266"/>
      <c r="U31" s="266"/>
      <c r="V31" s="266"/>
      <c r="W31" s="266"/>
      <c r="X31" s="266"/>
      <c r="Y31" s="120"/>
      <c r="Z31" s="266"/>
      <c r="AA31" s="266"/>
      <c r="AB31" s="266"/>
      <c r="AC31" s="266"/>
      <c r="AD31" s="266"/>
      <c r="AE31" s="266"/>
      <c r="AF31" s="266"/>
      <c r="AG31" s="266"/>
      <c r="AH31" s="123"/>
      <c r="AI31" s="123"/>
      <c r="AJ31" s="123"/>
      <c r="AK31" s="123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</row>
    <row r="32" spans="1:51" s="93" customFormat="1" ht="14.25" customHeight="1">
      <c r="A32" s="119"/>
      <c r="B32" s="120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120"/>
      <c r="P32" s="266"/>
      <c r="Q32" s="266"/>
      <c r="R32" s="266"/>
      <c r="S32" s="289" t="s">
        <v>37</v>
      </c>
      <c r="T32" s="266"/>
      <c r="U32" s="266"/>
      <c r="V32" s="266"/>
      <c r="W32" s="266"/>
      <c r="X32" s="266"/>
      <c r="Y32" s="120"/>
      <c r="Z32" s="266"/>
      <c r="AA32" s="266"/>
      <c r="AB32" s="266"/>
      <c r="AC32" s="266"/>
      <c r="AD32" s="266"/>
      <c r="AE32" s="266"/>
      <c r="AF32" s="266"/>
      <c r="AG32" s="266"/>
      <c r="AH32" s="123"/>
      <c r="AI32" s="123"/>
      <c r="AJ32" s="123"/>
      <c r="AK32" s="123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</row>
    <row r="33" spans="1:51" s="93" customFormat="1" ht="4.7" customHeight="1">
      <c r="A33" s="119"/>
      <c r="B33" s="120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120"/>
      <c r="P33" s="266"/>
      <c r="Q33" s="266"/>
      <c r="R33" s="266"/>
      <c r="S33" s="266"/>
      <c r="T33" s="266"/>
      <c r="U33" s="266"/>
      <c r="V33" s="266"/>
      <c r="W33" s="266"/>
      <c r="X33" s="266"/>
      <c r="Y33" s="120"/>
      <c r="Z33" s="266"/>
      <c r="AA33" s="266"/>
      <c r="AB33" s="266"/>
      <c r="AC33" s="266"/>
      <c r="AD33" s="266"/>
      <c r="AE33" s="266"/>
      <c r="AF33" s="266"/>
      <c r="AG33" s="266"/>
      <c r="AH33" s="123"/>
      <c r="AI33" s="123"/>
      <c r="AJ33" s="123"/>
      <c r="AK33" s="123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</row>
    <row r="34" spans="1:51">
      <c r="A34" s="12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51"/>
    </row>
    <row r="35" spans="1:51" s="51" customFormat="1">
      <c r="A35" s="12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1:51" s="51" customFormat="1">
      <c r="A36" s="12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1:51" s="51" customFormat="1">
      <c r="A37" s="125"/>
    </row>
    <row r="38" spans="1:51" s="51" customFormat="1">
      <c r="A38" s="125"/>
    </row>
    <row r="39" spans="1:51" s="51" customFormat="1">
      <c r="A39" s="125"/>
    </row>
    <row r="40" spans="1:51" s="51" customFormat="1">
      <c r="A40" s="125"/>
    </row>
    <row r="41" spans="1:51" s="51" customFormat="1">
      <c r="A41" s="125"/>
    </row>
    <row r="42" spans="1:51" s="51" customFormat="1">
      <c r="A42" s="125"/>
    </row>
    <row r="43" spans="1:51" s="51" customFormat="1">
      <c r="A43" s="125"/>
    </row>
    <row r="44" spans="1:51" s="51" customFormat="1">
      <c r="A44" s="125"/>
    </row>
    <row r="45" spans="1:51" s="51" customFormat="1">
      <c r="A45" s="125"/>
    </row>
    <row r="46" spans="1:51" s="51" customFormat="1">
      <c r="A46" s="125"/>
    </row>
    <row r="47" spans="1:51" s="51" customFormat="1">
      <c r="A47" s="125"/>
    </row>
    <row r="48" spans="1:51" s="51" customFormat="1">
      <c r="A48" s="125"/>
    </row>
    <row r="49" spans="1:1" s="51" customFormat="1">
      <c r="A49" s="125"/>
    </row>
    <row r="50" spans="1:1" s="51" customFormat="1">
      <c r="A50" s="125"/>
    </row>
    <row r="51" spans="1:1" s="51" customFormat="1">
      <c r="A51" s="125"/>
    </row>
    <row r="52" spans="1:1" s="51" customFormat="1">
      <c r="A52" s="125"/>
    </row>
    <row r="53" spans="1:1" s="51" customFormat="1">
      <c r="A53" s="125"/>
    </row>
    <row r="54" spans="1:1" s="51" customFormat="1">
      <c r="A54" s="125"/>
    </row>
    <row r="55" spans="1:1" s="51" customFormat="1">
      <c r="A55" s="125"/>
    </row>
    <row r="56" spans="1:1" s="51" customFormat="1">
      <c r="A56" s="125"/>
    </row>
    <row r="57" spans="1:1" s="51" customFormat="1">
      <c r="A57" s="125"/>
    </row>
    <row r="58" spans="1:1" s="51" customFormat="1">
      <c r="A58" s="125"/>
    </row>
    <row r="59" spans="1:1" s="51" customFormat="1">
      <c r="A59" s="125"/>
    </row>
    <row r="60" spans="1:1" s="51" customFormat="1">
      <c r="A60" s="125"/>
    </row>
    <row r="61" spans="1:1" s="51" customFormat="1">
      <c r="A61" s="125"/>
    </row>
    <row r="62" spans="1:1" s="51" customFormat="1">
      <c r="A62" s="125"/>
    </row>
    <row r="63" spans="1:1" s="51" customFormat="1">
      <c r="A63" s="125"/>
    </row>
    <row r="64" spans="1:1" s="51" customFormat="1">
      <c r="A64" s="125"/>
    </row>
    <row r="65" spans="1:1" s="51" customFormat="1">
      <c r="A65" s="125"/>
    </row>
    <row r="66" spans="1:1" s="51" customFormat="1">
      <c r="A66" s="125"/>
    </row>
    <row r="67" spans="1:1" s="51" customFormat="1">
      <c r="A67" s="125"/>
    </row>
    <row r="68" spans="1:1" s="51" customFormat="1">
      <c r="A68" s="125"/>
    </row>
    <row r="69" spans="1:1" s="51" customFormat="1">
      <c r="A69" s="125"/>
    </row>
    <row r="70" spans="1:1" s="51" customFormat="1">
      <c r="A70" s="125"/>
    </row>
    <row r="71" spans="1:1" s="51" customFormat="1">
      <c r="A71" s="125"/>
    </row>
    <row r="72" spans="1:1" s="51" customFormat="1">
      <c r="A72" s="125"/>
    </row>
    <row r="73" spans="1:1" s="51" customFormat="1">
      <c r="A73" s="125"/>
    </row>
    <row r="74" spans="1:1" s="51" customFormat="1">
      <c r="A74" s="125"/>
    </row>
    <row r="75" spans="1:1" s="51" customFormat="1">
      <c r="A75" s="125"/>
    </row>
    <row r="76" spans="1:1" s="51" customFormat="1">
      <c r="A76" s="125"/>
    </row>
    <row r="77" spans="1:1" s="51" customFormat="1">
      <c r="A77" s="125"/>
    </row>
    <row r="78" spans="1:1" s="51" customFormat="1">
      <c r="A78" s="125"/>
    </row>
    <row r="79" spans="1:1" s="51" customFormat="1">
      <c r="A79" s="125"/>
    </row>
    <row r="80" spans="1:1" s="51" customFormat="1">
      <c r="A80" s="125"/>
    </row>
    <row r="81" spans="1:2" s="51" customFormat="1">
      <c r="A81" s="125"/>
    </row>
    <row r="82" spans="1:2" s="51" customFormat="1">
      <c r="A82" s="125"/>
    </row>
    <row r="83" spans="1:2" s="51" customFormat="1">
      <c r="A83" s="125"/>
    </row>
    <row r="84" spans="1:2" s="51" customFormat="1">
      <c r="A84" s="125"/>
    </row>
    <row r="85" spans="1:2" s="51" customFormat="1">
      <c r="A85" s="125"/>
    </row>
    <row r="86" spans="1:2" s="51" customFormat="1">
      <c r="A86" s="125"/>
    </row>
    <row r="87" spans="1:2" s="51" customFormat="1">
      <c r="A87" s="125"/>
    </row>
    <row r="88" spans="1:2" s="51" customFormat="1">
      <c r="A88" s="125"/>
    </row>
    <row r="89" spans="1:2" s="51" customFormat="1" ht="15">
      <c r="A89" s="16" t="s">
        <v>319</v>
      </c>
      <c r="B89" s="8"/>
    </row>
    <row r="90" spans="1:2" s="51" customFormat="1" ht="15">
      <c r="A90" s="16" t="s">
        <v>320</v>
      </c>
      <c r="B90" s="8"/>
    </row>
    <row r="91" spans="1:2" s="51" customFormat="1">
      <c r="A91" s="125"/>
    </row>
    <row r="92" spans="1:2" s="51" customFormat="1">
      <c r="A92" s="125"/>
    </row>
    <row r="93" spans="1:2" s="51" customFormat="1">
      <c r="A93" s="125"/>
    </row>
    <row r="94" spans="1:2" s="51" customFormat="1">
      <c r="A94" s="125"/>
    </row>
    <row r="95" spans="1:2" s="51" customFormat="1">
      <c r="A95" s="125"/>
    </row>
    <row r="96" spans="1:2" s="51" customFormat="1">
      <c r="A96" s="125"/>
    </row>
    <row r="97" spans="1:1" s="51" customFormat="1">
      <c r="A97" s="125"/>
    </row>
    <row r="98" spans="1:1" s="51" customFormat="1">
      <c r="A98" s="125"/>
    </row>
    <row r="99" spans="1:1" s="51" customFormat="1">
      <c r="A99" s="125"/>
    </row>
    <row r="100" spans="1:1" s="51" customFormat="1">
      <c r="A100" s="125"/>
    </row>
    <row r="101" spans="1:1" s="51" customFormat="1">
      <c r="A101" s="125"/>
    </row>
    <row r="102" spans="1:1" s="51" customFormat="1">
      <c r="A102" s="125"/>
    </row>
    <row r="103" spans="1:1" s="51" customFormat="1">
      <c r="A103" s="125"/>
    </row>
    <row r="104" spans="1:1" s="51" customFormat="1">
      <c r="A104" s="125"/>
    </row>
    <row r="105" spans="1:1" s="51" customFormat="1">
      <c r="A105" s="125"/>
    </row>
    <row r="106" spans="1:1" s="51" customFormat="1">
      <c r="A106" s="125"/>
    </row>
    <row r="107" spans="1:1" s="51" customFormat="1">
      <c r="A107" s="125"/>
    </row>
    <row r="108" spans="1:1" s="51" customFormat="1">
      <c r="A108" s="125"/>
    </row>
    <row r="109" spans="1:1" s="51" customFormat="1">
      <c r="A109" s="125"/>
    </row>
    <row r="110" spans="1:1" s="51" customFormat="1">
      <c r="A110" s="125"/>
    </row>
    <row r="111" spans="1:1" s="51" customFormat="1">
      <c r="A111" s="125"/>
    </row>
    <row r="112" spans="1:1" s="51" customFormat="1">
      <c r="A112" s="125"/>
    </row>
    <row r="113" spans="1:1" s="51" customFormat="1">
      <c r="A113" s="125"/>
    </row>
    <row r="114" spans="1:1" s="51" customFormat="1">
      <c r="A114" s="125"/>
    </row>
    <row r="115" spans="1:1" s="51" customFormat="1">
      <c r="A115" s="125"/>
    </row>
    <row r="116" spans="1:1" s="51" customFormat="1">
      <c r="A116" s="125"/>
    </row>
    <row r="117" spans="1:1" s="51" customFormat="1">
      <c r="A117" s="125"/>
    </row>
    <row r="118" spans="1:1" s="51" customFormat="1">
      <c r="A118" s="125"/>
    </row>
    <row r="119" spans="1:1" s="51" customFormat="1">
      <c r="A119" s="125"/>
    </row>
    <row r="120" spans="1:1" s="51" customFormat="1">
      <c r="A120" s="125"/>
    </row>
    <row r="121" spans="1:1" s="51" customFormat="1">
      <c r="A121" s="125"/>
    </row>
    <row r="122" spans="1:1" s="51" customFormat="1">
      <c r="A122" s="125"/>
    </row>
    <row r="123" spans="1:1" s="51" customFormat="1">
      <c r="A123" s="125"/>
    </row>
    <row r="124" spans="1:1" s="51" customFormat="1">
      <c r="A124" s="125"/>
    </row>
    <row r="125" spans="1:1" s="51" customFormat="1">
      <c r="A125" s="125"/>
    </row>
  </sheetData>
  <sheetProtection formatRows="0" insertRows="0" selectLockedCells="1"/>
  <mergeCells count="25">
    <mergeCell ref="G6:AI6"/>
    <mergeCell ref="A1:AK1"/>
    <mergeCell ref="I2:AK2"/>
    <mergeCell ref="A3:AK3"/>
    <mergeCell ref="A5:K5"/>
    <mergeCell ref="L5:AI5"/>
    <mergeCell ref="G26:N26"/>
    <mergeCell ref="R26:Y26"/>
    <mergeCell ref="A7:AI7"/>
    <mergeCell ref="B9:AH9"/>
    <mergeCell ref="A11:AI11"/>
    <mergeCell ref="B13:F13"/>
    <mergeCell ref="H13:AI13"/>
    <mergeCell ref="B14:F14"/>
    <mergeCell ref="H14:AI14"/>
    <mergeCell ref="B15:AI15"/>
    <mergeCell ref="A18:AI18"/>
    <mergeCell ref="A20:AJ20"/>
    <mergeCell ref="A23:AJ23"/>
    <mergeCell ref="K24:AI24"/>
    <mergeCell ref="S29:AB29"/>
    <mergeCell ref="AD29:AI29"/>
    <mergeCell ref="M30:Q30"/>
    <mergeCell ref="S30:AB30"/>
    <mergeCell ref="AD30:AJ30"/>
  </mergeCells>
  <dataValidations count="1">
    <dataValidation type="list" allowBlank="1" showInputMessage="1" showErrorMessage="1" sqref="A23">
      <formula1>$A$89:$A$90</formula1>
    </dataValidation>
  </dataValidations>
  <pageMargins left="0.94488188976377963" right="0.31496062992125984" top="0.51181102362204722" bottom="0.27559055118110237" header="0.19685039370078741" footer="0.19685039370078741"/>
  <pageSetup paperSize="9" scale="90" fitToWidth="2" fitToHeight="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1:I52"/>
  <sheetViews>
    <sheetView view="pageBreakPreview" topLeftCell="A2" zoomScaleNormal="100" zoomScaleSheetLayoutView="100" workbookViewId="0">
      <selection activeCell="A19" sqref="A19"/>
    </sheetView>
  </sheetViews>
  <sheetFormatPr defaultRowHeight="15"/>
  <cols>
    <col min="1" max="1" width="30.140625" style="194" customWidth="1"/>
    <col min="2" max="2" width="14.5703125" style="194" customWidth="1"/>
    <col min="3" max="3" width="26" style="194" customWidth="1"/>
    <col min="4" max="4" width="11.7109375" style="194" customWidth="1"/>
    <col min="5" max="5" width="12.28515625" style="194" customWidth="1"/>
    <col min="6" max="6" width="18" style="194" customWidth="1"/>
    <col min="7" max="7" width="14.85546875" style="194" customWidth="1"/>
    <col min="8" max="8" width="18.5703125" style="194" customWidth="1"/>
    <col min="9" max="9" width="29" style="194" customWidth="1"/>
    <col min="10" max="16384" width="9.140625" style="194"/>
  </cols>
  <sheetData>
    <row r="1" spans="1:9" ht="23.25">
      <c r="F1" s="290" t="s">
        <v>321</v>
      </c>
    </row>
    <row r="2" spans="1:9" ht="15.75">
      <c r="D2" s="988" t="s">
        <v>322</v>
      </c>
      <c r="E2" s="988"/>
      <c r="F2" s="985"/>
      <c r="G2" s="985"/>
    </row>
    <row r="3" spans="1:9" ht="15.75">
      <c r="D3" s="291"/>
      <c r="E3" s="291"/>
      <c r="F3" s="292"/>
      <c r="G3" s="292"/>
    </row>
    <row r="4" spans="1:9" ht="15.75">
      <c r="D4" s="291"/>
      <c r="E4" s="291"/>
      <c r="F4" s="292"/>
      <c r="G4" s="292"/>
    </row>
    <row r="5" spans="1:9" ht="15.75">
      <c r="D5" s="291"/>
      <c r="E5" s="291"/>
      <c r="F5" s="292"/>
      <c r="G5" s="292"/>
    </row>
    <row r="6" spans="1:9" ht="16.5">
      <c r="A6" s="989" t="s">
        <v>323</v>
      </c>
      <c r="B6" s="989"/>
      <c r="C6" s="989"/>
      <c r="D6" s="989"/>
      <c r="E6" s="989"/>
      <c r="F6" s="989"/>
      <c r="G6" s="989"/>
    </row>
    <row r="7" spans="1:9" ht="16.5">
      <c r="A7" s="293"/>
      <c r="B7" s="293"/>
      <c r="C7" s="293"/>
      <c r="D7" s="293"/>
      <c r="E7" s="293"/>
      <c r="F7" s="293"/>
      <c r="G7" s="293"/>
    </row>
    <row r="8" spans="1:9" ht="16.5">
      <c r="A8" s="990" t="str">
        <f>IF(F2="физ.лицо/ИП","ФИО залогодателя:","Наимненование залогодателя:")</f>
        <v>Наимненование залогодателя:</v>
      </c>
      <c r="B8" s="990"/>
      <c r="C8" s="991"/>
      <c r="D8" s="991"/>
      <c r="E8" s="991"/>
      <c r="F8" s="991"/>
      <c r="G8" s="991"/>
    </row>
    <row r="9" spans="1:9" ht="16.5">
      <c r="A9" s="294"/>
      <c r="B9" s="294"/>
      <c r="C9" s="294"/>
      <c r="D9" s="294"/>
      <c r="E9" s="294"/>
      <c r="F9" s="294"/>
      <c r="G9" s="294"/>
    </row>
    <row r="10" spans="1:9" ht="42.75">
      <c r="A10" s="295" t="s">
        <v>324</v>
      </c>
      <c r="B10" s="295" t="s">
        <v>325</v>
      </c>
      <c r="C10" s="295" t="s">
        <v>326</v>
      </c>
      <c r="D10" s="295" t="s">
        <v>327</v>
      </c>
      <c r="E10" s="295" t="s">
        <v>328</v>
      </c>
      <c r="F10" s="295" t="s">
        <v>329</v>
      </c>
      <c r="G10" s="295" t="s">
        <v>330</v>
      </c>
      <c r="H10" s="295" t="str">
        <f>IF(F2="юр.лицо","Первоначальная стоимость, бел. руб."," ")</f>
        <v xml:space="preserve"> </v>
      </c>
      <c r="I10" s="295" t="str">
        <f>IF(F2="юр.лицо","Балансовая (остаточная) стоимость за последний отчетный месяц, бел. руб."," ")</f>
        <v xml:space="preserve"> </v>
      </c>
    </row>
    <row r="11" spans="1:9" ht="15.75">
      <c r="A11" s="296">
        <v>1</v>
      </c>
      <c r="B11" s="296">
        <v>2</v>
      </c>
      <c r="C11" s="296">
        <v>3</v>
      </c>
      <c r="D11" s="296">
        <v>4</v>
      </c>
      <c r="E11" s="296">
        <v>5</v>
      </c>
      <c r="F11" s="296">
        <v>6</v>
      </c>
      <c r="G11" s="296">
        <v>7</v>
      </c>
      <c r="H11" s="295" t="str">
        <f>IF(F2="юр.лицо","8"," ")</f>
        <v xml:space="preserve"> </v>
      </c>
      <c r="I11" s="295" t="str">
        <f>IF(F2="юр.лицо","9"," ")</f>
        <v xml:space="preserve"> </v>
      </c>
    </row>
    <row r="12" spans="1:9" ht="62.25" customHeight="1">
      <c r="A12" s="297"/>
      <c r="B12" s="297"/>
      <c r="C12" s="297"/>
      <c r="D12" s="297"/>
      <c r="E12" s="297"/>
      <c r="F12" s="297"/>
      <c r="G12" s="297"/>
      <c r="H12" s="297"/>
      <c r="I12" s="297"/>
    </row>
    <row r="13" spans="1:9">
      <c r="A13" s="298"/>
      <c r="B13" s="299"/>
      <c r="C13" s="299"/>
      <c r="D13" s="299"/>
      <c r="E13" s="299"/>
      <c r="F13" s="300"/>
      <c r="G13" s="300"/>
      <c r="H13" s="130"/>
      <c r="I13" s="130"/>
    </row>
    <row r="14" spans="1:9">
      <c r="A14" s="298"/>
      <c r="B14" s="299"/>
      <c r="C14" s="299"/>
      <c r="D14" s="299"/>
      <c r="E14" s="299"/>
      <c r="F14" s="300"/>
      <c r="G14" s="300"/>
      <c r="H14" s="130"/>
      <c r="I14" s="130"/>
    </row>
    <row r="15" spans="1:9">
      <c r="A15" s="298"/>
      <c r="B15" s="299"/>
      <c r="C15" s="299"/>
      <c r="D15" s="299"/>
      <c r="E15" s="299"/>
      <c r="F15" s="300"/>
      <c r="G15" s="300"/>
      <c r="H15" s="130"/>
      <c r="I15" s="130"/>
    </row>
    <row r="16" spans="1:9">
      <c r="A16" s="301" t="s">
        <v>331</v>
      </c>
    </row>
    <row r="18" spans="1:7" ht="15.75">
      <c r="A18" s="992" t="s">
        <v>332</v>
      </c>
      <c r="B18" s="992"/>
      <c r="C18" s="992"/>
      <c r="D18" s="993"/>
      <c r="E18" s="993"/>
      <c r="F18" s="993"/>
      <c r="G18" s="993"/>
    </row>
    <row r="20" spans="1:7" ht="15.75">
      <c r="A20" s="992" t="s">
        <v>333</v>
      </c>
      <c r="B20" s="992"/>
      <c r="C20" s="992"/>
    </row>
    <row r="21" spans="1:7" ht="15.75">
      <c r="A21" s="1"/>
      <c r="B21" s="302" t="s">
        <v>334</v>
      </c>
      <c r="C21" s="302"/>
      <c r="D21" s="302"/>
      <c r="E21" s="1"/>
      <c r="F21" s="302" t="s">
        <v>335</v>
      </c>
      <c r="G21" s="302"/>
    </row>
    <row r="22" spans="1:7" ht="15.75">
      <c r="A22" s="1"/>
      <c r="B22" s="302" t="s">
        <v>336</v>
      </c>
      <c r="C22" s="302"/>
      <c r="D22" s="302"/>
      <c r="E22" s="1"/>
      <c r="F22" s="302" t="s">
        <v>337</v>
      </c>
      <c r="G22" s="302"/>
    </row>
    <row r="23" spans="1:7" ht="15.75">
      <c r="A23" s="1"/>
      <c r="B23" s="302" t="s">
        <v>338</v>
      </c>
      <c r="C23" s="302"/>
      <c r="D23" s="302"/>
      <c r="E23" s="1"/>
      <c r="F23" s="302" t="s">
        <v>339</v>
      </c>
      <c r="G23" s="303"/>
    </row>
    <row r="25" spans="1:7" ht="15.75">
      <c r="A25" s="304" t="s">
        <v>340</v>
      </c>
    </row>
    <row r="26" spans="1:7" ht="15.75">
      <c r="A26" s="1"/>
      <c r="B26" s="302" t="s">
        <v>341</v>
      </c>
      <c r="C26" s="302"/>
      <c r="D26" s="302"/>
      <c r="E26" s="1"/>
      <c r="F26" s="302" t="str">
        <f>IF(F2="юр.лицо","Право хозяйственного ведения","Иное право:")</f>
        <v>Иное право:</v>
      </c>
    </row>
    <row r="27" spans="1:7" ht="15.75">
      <c r="A27" s="1"/>
      <c r="B27" s="302" t="str">
        <f>IF(F2="юр.лицо","Право оперативного управления"," ")</f>
        <v xml:space="preserve"> </v>
      </c>
      <c r="C27" s="302"/>
      <c r="D27" s="302"/>
      <c r="E27" s="1"/>
      <c r="F27" s="302" t="str">
        <f>IF(F2="юр.лицо","Иное право:"," ")</f>
        <v xml:space="preserve"> </v>
      </c>
      <c r="G27" s="305"/>
    </row>
    <row r="29" spans="1:7" ht="15.75">
      <c r="A29" s="304" t="s">
        <v>342</v>
      </c>
    </row>
    <row r="30" spans="1:7" ht="15.75">
      <c r="A30" s="1"/>
      <c r="B30" s="984" t="s">
        <v>343</v>
      </c>
      <c r="C30" s="984"/>
      <c r="D30" s="984"/>
    </row>
    <row r="31" spans="1:7" ht="15.75">
      <c r="A31" s="1"/>
      <c r="B31" s="302" t="s">
        <v>344</v>
      </c>
      <c r="C31" s="302"/>
      <c r="D31" s="305"/>
      <c r="E31" s="306"/>
    </row>
    <row r="32" spans="1:7" ht="15.75">
      <c r="A32" s="1"/>
      <c r="B32" s="302" t="s">
        <v>345</v>
      </c>
      <c r="C32" s="302"/>
    </row>
    <row r="33" spans="1:8" ht="15.75">
      <c r="A33" s="1"/>
      <c r="B33" s="302" t="s">
        <v>346</v>
      </c>
      <c r="C33" s="302"/>
    </row>
    <row r="34" spans="1:8" ht="15.75">
      <c r="A34" s="1"/>
      <c r="B34" s="302" t="s">
        <v>347</v>
      </c>
      <c r="C34" s="302"/>
      <c r="D34" s="302"/>
      <c r="E34" s="302"/>
    </row>
    <row r="35" spans="1:8" ht="15.75">
      <c r="B35" s="303"/>
      <c r="C35" s="292" t="s">
        <v>348</v>
      </c>
      <c r="D35" s="303"/>
      <c r="E35" s="302"/>
    </row>
    <row r="36" spans="1:8" ht="15.75">
      <c r="B36" s="302"/>
      <c r="C36" s="302"/>
      <c r="D36" s="302"/>
      <c r="E36" s="302"/>
    </row>
    <row r="37" spans="1:8" ht="15.75">
      <c r="A37" s="304" t="str">
        <f>IF(F2="юр.лицо"," ","Сведения о режиме собственности предлагаемого в залог имущества:")</f>
        <v>Сведения о режиме собственности предлагаемого в залог имущества:</v>
      </c>
    </row>
    <row r="38" spans="1:8" ht="15.75">
      <c r="A38" s="1"/>
      <c r="B38" s="984" t="str">
        <f>IF(F2="юр.лицо"," ","В режиме совместной собственности с бывшим супругом(ой)")</f>
        <v>В режиме совместной собственности с бывшим супругом(ой)</v>
      </c>
      <c r="C38" s="984"/>
      <c r="D38" s="984"/>
      <c r="E38" s="984"/>
      <c r="F38" s="984"/>
    </row>
    <row r="39" spans="1:8" ht="18" customHeight="1">
      <c r="A39" s="1"/>
      <c r="B39" s="994" t="str">
        <f>IF(F2="юр.лицо"," ","В режиме совместной собственности с супругом(ой), с которым(ой) в настоящее время состою в браке")</f>
        <v>В режиме совместной собственности с супругом(ой), с которым(ой) в настоящее время состою в браке</v>
      </c>
      <c r="C39" s="994"/>
      <c r="D39" s="994"/>
      <c r="E39" s="994"/>
      <c r="F39" s="994"/>
      <c r="G39" s="994"/>
      <c r="H39" s="994"/>
    </row>
    <row r="40" spans="1:8" ht="15.75">
      <c r="A40" s="1"/>
      <c r="B40" s="984" t="str">
        <f>IF(F2="юр.лицо"," ","В режиме личной собственности")</f>
        <v>В режиме личной собственности</v>
      </c>
      <c r="C40" s="984"/>
      <c r="D40" s="984"/>
      <c r="E40" s="984"/>
      <c r="F40" s="984"/>
    </row>
    <row r="41" spans="1:8" ht="15.75">
      <c r="B41" s="307"/>
      <c r="C41" s="307"/>
      <c r="D41" s="307"/>
      <c r="E41" s="307"/>
      <c r="F41" s="307"/>
    </row>
    <row r="42" spans="1:8" ht="15.75">
      <c r="A42" s="304" t="s">
        <v>349</v>
      </c>
    </row>
    <row r="43" spans="1:8" ht="15.75">
      <c r="A43" s="1"/>
      <c r="B43" s="984" t="s">
        <v>14</v>
      </c>
      <c r="C43" s="984"/>
      <c r="D43" s="984"/>
      <c r="E43" s="984"/>
      <c r="F43" s="984"/>
    </row>
    <row r="44" spans="1:8" ht="15.75">
      <c r="A44" s="1"/>
      <c r="B44" s="984" t="s">
        <v>350</v>
      </c>
      <c r="C44" s="984"/>
      <c r="D44" s="984"/>
      <c r="E44" s="984"/>
      <c r="F44" s="984"/>
    </row>
    <row r="47" spans="1:8" ht="15.75">
      <c r="A47" s="308" t="str">
        <f>IF(F2="юр.лицо","Подпись руководителя залогодателя","Подпись залогодателя")</f>
        <v>Подпись залогодателя</v>
      </c>
      <c r="B47" s="302"/>
      <c r="C47" s="309"/>
      <c r="D47" s="985"/>
      <c r="E47" s="985"/>
      <c r="F47" s="291" t="s">
        <v>5</v>
      </c>
      <c r="G47" s="268"/>
    </row>
    <row r="48" spans="1:8" ht="15.75">
      <c r="A48" s="302"/>
      <c r="B48" s="302"/>
      <c r="C48" s="302"/>
      <c r="D48" s="986" t="s">
        <v>351</v>
      </c>
      <c r="E48" s="986"/>
      <c r="F48" s="302"/>
      <c r="G48" s="302"/>
    </row>
    <row r="49" spans="1:7" ht="15.75">
      <c r="A49" s="302"/>
      <c r="B49" s="302"/>
      <c r="C49" s="302"/>
      <c r="D49" s="302"/>
      <c r="E49" s="302"/>
      <c r="F49" s="302"/>
      <c r="G49" s="302"/>
    </row>
    <row r="50" spans="1:7" ht="15.75">
      <c r="A50" s="302" t="str">
        <f>IF(F2="юр.лицо","Подпись гл.бухгалтера залогодателя"," ")</f>
        <v xml:space="preserve"> </v>
      </c>
      <c r="B50" s="302"/>
      <c r="C50" s="310"/>
      <c r="D50" s="987"/>
      <c r="E50" s="987"/>
      <c r="F50" s="302"/>
      <c r="G50" s="302"/>
    </row>
    <row r="51" spans="1:7" ht="15.75">
      <c r="A51" s="302"/>
      <c r="B51" s="302"/>
      <c r="C51" s="302"/>
      <c r="D51" s="986" t="str">
        <f>IF(F2="юр.лицо","расшифровка"," ")</f>
        <v xml:space="preserve"> </v>
      </c>
      <c r="E51" s="986"/>
      <c r="F51" s="302"/>
      <c r="G51" s="302"/>
    </row>
    <row r="52" spans="1:7" ht="15.75">
      <c r="A52" s="302"/>
      <c r="B52" s="302"/>
      <c r="C52" s="302" t="str">
        <f>IF(F2="юр.лицо","М.П."," ")</f>
        <v xml:space="preserve"> </v>
      </c>
      <c r="D52" s="302"/>
      <c r="E52" s="302"/>
      <c r="F52" s="302"/>
      <c r="G52" s="302"/>
    </row>
  </sheetData>
  <sheetProtection algorithmName="SHA-512" hashValue="Q5Nh9jGq5y6f5wn2X8MLDbBgutWzYgUdMAmLa6ZFyIiM+H2kMH8+tk0nZwG3nrtfd4SHaZhGtqqWARYBOfhIFA==" saltValue="bEvvUEE5B7ttThfb+D9DTg==" spinCount="100000" sheet="1" objects="1" scenarios="1"/>
  <mergeCells count="18">
    <mergeCell ref="B43:F43"/>
    <mergeCell ref="D2:E2"/>
    <mergeCell ref="F2:G2"/>
    <mergeCell ref="A6:G6"/>
    <mergeCell ref="A8:B8"/>
    <mergeCell ref="C8:G8"/>
    <mergeCell ref="A18:C18"/>
    <mergeCell ref="D18:G18"/>
    <mergeCell ref="A20:C20"/>
    <mergeCell ref="B30:D30"/>
    <mergeCell ref="B38:F38"/>
    <mergeCell ref="B39:H39"/>
    <mergeCell ref="B40:F40"/>
    <mergeCell ref="B44:F44"/>
    <mergeCell ref="D47:E47"/>
    <mergeCell ref="D48:E48"/>
    <mergeCell ref="D50:E50"/>
    <mergeCell ref="D51:E51"/>
  </mergeCells>
  <conditionalFormatting sqref="E12:G12">
    <cfRule type="containsBlanks" dxfId="29" priority="16">
      <formula>LEN(TRIM(E12))=0</formula>
    </cfRule>
  </conditionalFormatting>
  <conditionalFormatting sqref="I10:I11 I13:I15">
    <cfRule type="expression" dxfId="28" priority="15">
      <formula>$F$2="физ.лицо/ИП"</formula>
    </cfRule>
  </conditionalFormatting>
  <conditionalFormatting sqref="H10:H11 H13:H15">
    <cfRule type="expression" dxfId="27" priority="14">
      <formula>$F$2="физ.лицо/ИП"</formula>
    </cfRule>
  </conditionalFormatting>
  <conditionalFormatting sqref="G47">
    <cfRule type="containsBlanks" dxfId="26" priority="13">
      <formula>LEN(TRIM(G47))=0</formula>
    </cfRule>
  </conditionalFormatting>
  <conditionalFormatting sqref="D47:E47 D50:E50">
    <cfRule type="containsBlanks" dxfId="25" priority="12">
      <formula>LEN(TRIM(D47))=0</formula>
    </cfRule>
  </conditionalFormatting>
  <conditionalFormatting sqref="C50">
    <cfRule type="expression" dxfId="24" priority="11">
      <formula>$F$2="юр.лицо"</formula>
    </cfRule>
  </conditionalFormatting>
  <conditionalFormatting sqref="D50:E50">
    <cfRule type="expression" dxfId="23" priority="10">
      <formula>$C$52=" "</formula>
    </cfRule>
  </conditionalFormatting>
  <conditionalFormatting sqref="F2:G2">
    <cfRule type="containsBlanks" dxfId="22" priority="9">
      <formula>LEN(TRIM(F2))=0</formula>
    </cfRule>
  </conditionalFormatting>
  <conditionalFormatting sqref="G27">
    <cfRule type="expression" dxfId="21" priority="8">
      <formula>$F$2="физ.лицо/ИП"</formula>
    </cfRule>
  </conditionalFormatting>
  <conditionalFormatting sqref="C8:G8">
    <cfRule type="containsBlanks" dxfId="20" priority="7">
      <formula>LEN(TRIM(C8))=0</formula>
    </cfRule>
  </conditionalFormatting>
  <conditionalFormatting sqref="A12:C12">
    <cfRule type="containsBlanks" dxfId="19" priority="6">
      <formula>LEN(TRIM(A12))=0</formula>
    </cfRule>
  </conditionalFormatting>
  <conditionalFormatting sqref="H12:I12">
    <cfRule type="containsBlanks" dxfId="18" priority="5">
      <formula>LEN(TRIM(H12))=0</formula>
    </cfRule>
  </conditionalFormatting>
  <conditionalFormatting sqref="I12">
    <cfRule type="expression" dxfId="17" priority="4">
      <formula>$F$2="физ.лицо/ИП"</formula>
    </cfRule>
  </conditionalFormatting>
  <conditionalFormatting sqref="H12">
    <cfRule type="expression" dxfId="16" priority="3">
      <formula>$F$2="физ.лицо/ИП"</formula>
    </cfRule>
  </conditionalFormatting>
  <conditionalFormatting sqref="D18:G18">
    <cfRule type="containsBlanks" dxfId="15" priority="2">
      <formula>LEN(TRIM(D18))=0</formula>
    </cfRule>
  </conditionalFormatting>
  <conditionalFormatting sqref="D12">
    <cfRule type="containsBlanks" dxfId="14" priority="1">
      <formula>LEN(TRIM(D12))=0</formula>
    </cfRule>
  </conditionalFormatting>
  <dataValidations count="3">
    <dataValidation type="list" allowBlank="1" showInputMessage="1" showErrorMessage="1" sqref="F12:F15">
      <formula1>"бензин,дизель,газ,элекродвигатель,-"</formula1>
    </dataValidation>
    <dataValidation type="list" allowBlank="1" showInputMessage="1" showErrorMessage="1" sqref="G12:G15">
      <formula1>"АКПП,механика,-"</formula1>
    </dataValidation>
    <dataValidation type="list" allowBlank="1" showInputMessage="1" showErrorMessage="1" sqref="F5:G5 F2:G2">
      <formula1>"физ.лицо/ИП,юр.лицо"</formula1>
    </dataValidation>
  </dataValidations>
  <pageMargins left="0.7" right="0.7" top="0.75" bottom="0.75" header="0.3" footer="0.3"/>
  <pageSetup paperSize="9" scale="7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190500</xdr:rowOff>
                  </from>
                  <to>
                    <xdr:col>1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0</xdr:col>
                    <xdr:colOff>1752600</xdr:colOff>
                    <xdr:row>20</xdr:row>
                    <xdr:rowOff>180975</xdr:rowOff>
                  </from>
                  <to>
                    <xdr:col>1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0</xdr:col>
                    <xdr:colOff>1752600</xdr:colOff>
                    <xdr:row>21</xdr:row>
                    <xdr:rowOff>190500</xdr:rowOff>
                  </from>
                  <to>
                    <xdr:col>1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4</xdr:col>
                    <xdr:colOff>581025</xdr:colOff>
                    <xdr:row>19</xdr:row>
                    <xdr:rowOff>190500</xdr:rowOff>
                  </from>
                  <to>
                    <xdr:col>5</xdr:col>
                    <xdr:colOff>295275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4</xdr:col>
                    <xdr:colOff>581025</xdr:colOff>
                    <xdr:row>20</xdr:row>
                    <xdr:rowOff>180975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4</xdr:col>
                    <xdr:colOff>581025</xdr:colOff>
                    <xdr:row>21</xdr:row>
                    <xdr:rowOff>190500</xdr:rowOff>
                  </from>
                  <to>
                    <xdr:col>5</xdr:col>
                    <xdr:colOff>295275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0</xdr:col>
                    <xdr:colOff>1752600</xdr:colOff>
                    <xdr:row>24</xdr:row>
                    <xdr:rowOff>180975</xdr:rowOff>
                  </from>
                  <to>
                    <xdr:col>1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0</xdr:col>
                    <xdr:colOff>1752600</xdr:colOff>
                    <xdr:row>25</xdr:row>
                    <xdr:rowOff>190500</xdr:rowOff>
                  </from>
                  <to>
                    <xdr:col>1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0</xdr:col>
                    <xdr:colOff>1752600</xdr:colOff>
                    <xdr:row>28</xdr:row>
                    <xdr:rowOff>180975</xdr:rowOff>
                  </from>
                  <to>
                    <xdr:col>1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0</xdr:col>
                    <xdr:colOff>1752600</xdr:colOff>
                    <xdr:row>29</xdr:row>
                    <xdr:rowOff>190500</xdr:rowOff>
                  </from>
                  <to>
                    <xdr:col>1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0</xdr:col>
                    <xdr:colOff>1752600</xdr:colOff>
                    <xdr:row>30</xdr:row>
                    <xdr:rowOff>180975</xdr:rowOff>
                  </from>
                  <to>
                    <xdr:col>1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0</xdr:col>
                    <xdr:colOff>1752600</xdr:colOff>
                    <xdr:row>31</xdr:row>
                    <xdr:rowOff>190500</xdr:rowOff>
                  </from>
                  <to>
                    <xdr:col>1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0</xdr:col>
                    <xdr:colOff>1752600</xdr:colOff>
                    <xdr:row>32</xdr:row>
                    <xdr:rowOff>190500</xdr:rowOff>
                  </from>
                  <to>
                    <xdr:col>1</xdr:col>
                    <xdr:colOff>276225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4</xdr:col>
                    <xdr:colOff>581025</xdr:colOff>
                    <xdr:row>24</xdr:row>
                    <xdr:rowOff>180975</xdr:rowOff>
                  </from>
                  <to>
                    <xdr:col>5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4</xdr:col>
                    <xdr:colOff>581025</xdr:colOff>
                    <xdr:row>25</xdr:row>
                    <xdr:rowOff>190500</xdr:rowOff>
                  </from>
                  <to>
                    <xdr:col>5</xdr:col>
                    <xdr:colOff>295275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0</xdr:col>
                    <xdr:colOff>1752600</xdr:colOff>
                    <xdr:row>36</xdr:row>
                    <xdr:rowOff>190500</xdr:rowOff>
                  </from>
                  <to>
                    <xdr:col>1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0</xdr:col>
                    <xdr:colOff>1752600</xdr:colOff>
                    <xdr:row>37</xdr:row>
                    <xdr:rowOff>190500</xdr:rowOff>
                  </from>
                  <to>
                    <xdr:col>1</xdr:col>
                    <xdr:colOff>276225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0</xdr:col>
                    <xdr:colOff>1752600</xdr:colOff>
                    <xdr:row>38</xdr:row>
                    <xdr:rowOff>400050</xdr:rowOff>
                  </from>
                  <to>
                    <xdr:col>1</xdr:col>
                    <xdr:colOff>276225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0</xdr:col>
                    <xdr:colOff>1752600</xdr:colOff>
                    <xdr:row>41</xdr:row>
                    <xdr:rowOff>190500</xdr:rowOff>
                  </from>
                  <to>
                    <xdr:col>1</xdr:col>
                    <xdr:colOff>276225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0</xdr:col>
                    <xdr:colOff>1752600</xdr:colOff>
                    <xdr:row>42</xdr:row>
                    <xdr:rowOff>190500</xdr:rowOff>
                  </from>
                  <to>
                    <xdr:col>1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80"/>
  <sheetViews>
    <sheetView view="pageBreakPreview" zoomScaleNormal="100" zoomScaleSheetLayoutView="100" workbookViewId="0">
      <selection activeCell="R22" sqref="R22"/>
    </sheetView>
  </sheetViews>
  <sheetFormatPr defaultRowHeight="15"/>
  <cols>
    <col min="1" max="1" width="5.7109375" style="194" customWidth="1"/>
    <col min="2" max="2" width="39.140625" style="194" customWidth="1"/>
    <col min="3" max="3" width="25" style="194" customWidth="1"/>
    <col min="4" max="4" width="21.85546875" style="194" customWidth="1"/>
    <col min="5" max="5" width="26.85546875" style="194" customWidth="1"/>
    <col min="6" max="7" width="14" style="194" hidden="1" customWidth="1"/>
    <col min="8" max="8" width="9.140625" style="194" hidden="1" customWidth="1"/>
    <col min="9" max="9" width="9" style="194" hidden="1" customWidth="1"/>
    <col min="10" max="16384" width="9.140625" style="194"/>
  </cols>
  <sheetData>
    <row r="1" spans="1:9" ht="15.75">
      <c r="B1" s="1000" t="s">
        <v>352</v>
      </c>
      <c r="C1" s="1000"/>
      <c r="D1" s="1000"/>
      <c r="E1" s="1000"/>
      <c r="F1" s="194" t="str">
        <f>TEXT(D2,"ДД.ММ.ГГГГ")</f>
        <v>дата оценки</v>
      </c>
    </row>
    <row r="2" spans="1:9" ht="15.75">
      <c r="B2" s="312"/>
      <c r="C2" s="312" t="s">
        <v>353</v>
      </c>
      <c r="D2" s="313" t="s">
        <v>354</v>
      </c>
      <c r="E2" s="314"/>
      <c r="F2" s="315" t="e">
        <f>YEAR(D2)</f>
        <v>#VALUE!</v>
      </c>
    </row>
    <row r="3" spans="1:9" ht="15.75">
      <c r="B3" s="314"/>
      <c r="F3" s="194" t="e">
        <f>F2+1</f>
        <v>#VALUE!</v>
      </c>
      <c r="G3" s="196" t="e">
        <f>CONCATENATE("01.01.",F3)</f>
        <v>#VALUE!</v>
      </c>
      <c r="H3" s="194" t="e">
        <f>(G3-D2)/365</f>
        <v>#VALUE!</v>
      </c>
      <c r="I3" s="316"/>
    </row>
    <row r="4" spans="1:9" ht="15.75">
      <c r="B4" s="314" t="s">
        <v>355</v>
      </c>
      <c r="C4" s="317" t="s">
        <v>356</v>
      </c>
      <c r="F4" s="194" t="e">
        <f>F2+2</f>
        <v>#VALUE!</v>
      </c>
      <c r="G4" s="196" t="e">
        <f>CONCATENATE("01.01.",F4)</f>
        <v>#VALUE!</v>
      </c>
    </row>
    <row r="5" spans="1:9" ht="15.75">
      <c r="B5" s="318" t="s">
        <v>357</v>
      </c>
      <c r="C5" s="311" t="s">
        <v>358</v>
      </c>
      <c r="F5" s="194" t="e">
        <f>F2+3</f>
        <v>#VALUE!</v>
      </c>
      <c r="G5" s="196" t="e">
        <f>CONCATENATE("01.01.",F5)</f>
        <v>#VALUE!</v>
      </c>
    </row>
    <row r="6" spans="1:9" ht="15.75">
      <c r="B6" s="318" t="s">
        <v>359</v>
      </c>
      <c r="C6" s="319" t="str">
        <f>D2</f>
        <v>дата оценки</v>
      </c>
      <c r="F6" s="194" t="e">
        <f>F2+4</f>
        <v>#VALUE!</v>
      </c>
      <c r="G6" s="196" t="e">
        <f>CONCATENATE("01.01.",F6)</f>
        <v>#VALUE!</v>
      </c>
    </row>
    <row r="7" spans="1:9" ht="16.5" customHeight="1">
      <c r="B7" s="318" t="s">
        <v>360</v>
      </c>
      <c r="C7" s="1001"/>
      <c r="D7" s="1001"/>
      <c r="E7" s="1001"/>
      <c r="F7" s="194" t="e">
        <f>F2+5</f>
        <v>#VALUE!</v>
      </c>
      <c r="G7" s="196" t="e">
        <f>CONCATENATE("01.01.",F7)</f>
        <v>#VALUE!</v>
      </c>
      <c r="I7" s="194" t="s">
        <v>414</v>
      </c>
    </row>
    <row r="8" spans="1:9" ht="36" customHeight="1">
      <c r="A8" s="320"/>
      <c r="B8" s="318" t="s">
        <v>361</v>
      </c>
      <c r="C8" s="1002" t="str">
        <f>CONCATENATE('залоговая опись авто'!A12,", номер кузова (шасси) ",'залоговая опись авто'!C12,", рег.знак ",'залоговая опись авто'!B12)</f>
        <v xml:space="preserve">, номер кузова (шасси) , рег.знак </v>
      </c>
      <c r="D8" s="1002"/>
      <c r="E8" s="1002"/>
      <c r="F8" s="196"/>
      <c r="I8" s="194" t="s">
        <v>415</v>
      </c>
    </row>
    <row r="9" spans="1:9" ht="15.75">
      <c r="B9" s="318" t="s">
        <v>362</v>
      </c>
      <c r="C9" s="321">
        <f>'залоговая опись авто'!D12</f>
        <v>0</v>
      </c>
      <c r="D9" s="322"/>
      <c r="E9" s="322"/>
      <c r="I9" s="194" t="s">
        <v>416</v>
      </c>
    </row>
    <row r="10" spans="1:9" ht="82.5" customHeight="1">
      <c r="B10" s="323" t="s">
        <v>363</v>
      </c>
      <c r="C10" s="324"/>
      <c r="D10" s="322"/>
      <c r="E10" s="322"/>
      <c r="I10" s="194" t="s">
        <v>417</v>
      </c>
    </row>
    <row r="11" spans="1:9" ht="15.75">
      <c r="B11" s="318" t="s">
        <v>364</v>
      </c>
      <c r="C11" s="325"/>
      <c r="I11" s="194" t="s">
        <v>418</v>
      </c>
    </row>
    <row r="12" spans="1:9" ht="15.75">
      <c r="B12" s="318" t="s">
        <v>365</v>
      </c>
      <c r="C12" s="311" t="s">
        <v>366</v>
      </c>
    </row>
    <row r="13" spans="1:9" ht="35.25" customHeight="1">
      <c r="B13" s="326" t="s">
        <v>367</v>
      </c>
      <c r="C13" s="1003" t="s">
        <v>368</v>
      </c>
      <c r="D13" s="1003"/>
      <c r="E13" s="1003"/>
    </row>
    <row r="14" spans="1:9" ht="15" customHeight="1">
      <c r="B14" s="326" t="s">
        <v>369</v>
      </c>
      <c r="C14" s="327" t="s">
        <v>370</v>
      </c>
      <c r="D14" s="327" t="s">
        <v>371</v>
      </c>
      <c r="E14" s="327" t="s">
        <v>372</v>
      </c>
    </row>
    <row r="15" spans="1:9" ht="16.5" customHeight="1">
      <c r="B15" s="326"/>
      <c r="C15" s="328"/>
      <c r="D15" s="328"/>
      <c r="E15" s="328"/>
    </row>
    <row r="16" spans="1:9" ht="17.25" customHeight="1">
      <c r="B16" s="318" t="s">
        <v>373</v>
      </c>
    </row>
    <row r="17" spans="1:7">
      <c r="B17" s="329" t="s">
        <v>374</v>
      </c>
      <c r="C17" s="330" t="s">
        <v>375</v>
      </c>
      <c r="D17" s="330" t="s">
        <v>376</v>
      </c>
      <c r="E17" s="330" t="s">
        <v>377</v>
      </c>
    </row>
    <row r="18" spans="1:7">
      <c r="B18" s="331" t="s">
        <v>378</v>
      </c>
      <c r="C18" s="300"/>
      <c r="D18" s="300"/>
      <c r="E18" s="300"/>
    </row>
    <row r="19" spans="1:7">
      <c r="B19" s="332" t="str">
        <f>CONCATENATE("Стоимость в ",C11,", с НДС")</f>
        <v>Стоимость в , с НДС</v>
      </c>
      <c r="C19" s="333"/>
      <c r="D19" s="333"/>
      <c r="E19" s="333"/>
    </row>
    <row r="20" spans="1:7">
      <c r="B20" s="332" t="str">
        <f>CONCATENATE("Стоимость в ",C11,", без НДС")</f>
        <v>Стоимость в , без НДС</v>
      </c>
      <c r="C20" s="334">
        <f>ROUND(C19/1.2,2)</f>
        <v>0</v>
      </c>
      <c r="D20" s="334">
        <f>ROUND(D19/1.2,2)</f>
        <v>0</v>
      </c>
      <c r="E20" s="334">
        <f>ROUND(E19/1.2,2)</f>
        <v>0</v>
      </c>
    </row>
    <row r="21" spans="1:7" ht="35.25" customHeight="1">
      <c r="B21" s="332" t="s">
        <v>379</v>
      </c>
      <c r="C21" s="300"/>
      <c r="D21" s="300"/>
      <c r="E21" s="300"/>
    </row>
    <row r="22" spans="1:7" ht="28.5" customHeight="1">
      <c r="B22" s="332" t="str">
        <f>CONCATENATE("Рыночная (оценочная) стоимость объекта оценки в ",C11,", без НДС")</f>
        <v>Рыночная (оценочная) стоимость объекта оценки в , без НДС</v>
      </c>
      <c r="C22" s="999">
        <f>AVERAGE(C20:E20)</f>
        <v>0</v>
      </c>
      <c r="D22" s="999"/>
      <c r="E22" s="999"/>
    </row>
    <row r="23" spans="1:7" ht="34.5" customHeight="1">
      <c r="B23" s="332" t="str">
        <f>CONCATENATE("Рыночная (оценочная) стоимость объекта оценки в ",C11," с учетом округления, без НДС")</f>
        <v>Рыночная (оценочная) стоимость объекта оценки в  с учетом округления, без НДС</v>
      </c>
      <c r="C23" s="999">
        <f>IF(C22&lt;=99999.99,ROUND(C22,-2),ROUND(C22,-3))</f>
        <v>0</v>
      </c>
      <c r="D23" s="999"/>
      <c r="E23" s="999"/>
    </row>
    <row r="24" spans="1:7" ht="15.75">
      <c r="B24" s="335"/>
    </row>
    <row r="25" spans="1:7" ht="44.25" customHeight="1">
      <c r="B25" s="326" t="s">
        <v>380</v>
      </c>
      <c r="C25" s="996" t="str">
        <f>CONCATENATE("оценочная стоимость объекта оценки для целей залога по состоянию на ",F1," составляет ",C23," (",[13]Лист2!A59,") ",IF('акт оценки авто'!C11="BYN","белорусских рублей",IF('акт оценки авто'!C11="USD","долларов США",IF('акт оценки авто'!C11="EUR","евро","российских рублей")))," без НДС.")</f>
        <v>оценочная стоимость объекта оценки для целей залога по состоянию на дата оценки составляет 0 () российских рублей без НДС.</v>
      </c>
      <c r="D25" s="996"/>
      <c r="E25" s="996"/>
    </row>
    <row r="26" spans="1:7" ht="15.75">
      <c r="B26" s="318"/>
    </row>
    <row r="27" spans="1:7" ht="53.25" customHeight="1">
      <c r="B27" s="997" t="str">
        <f>CONCATENATE("Стоимость имущества с учетом ежегодного прогнозного снижения стоимости, ",IF('акт оценки авто'!C11="BYN","белорусских рублей",IF('акт оценки авто'!C11="USD","долларов США",IF('акт оценки авто'!C11="EUR","евро","российских рублей")))," без НДС:")</f>
        <v>Стоимость имущества с учетом ежегодного прогнозного снижения стоимости, российских рублей без НДС:</v>
      </c>
      <c r="C27" s="997"/>
      <c r="D27" s="997"/>
      <c r="E27" s="997"/>
    </row>
    <row r="28" spans="1:7" ht="33" customHeight="1">
      <c r="A28" s="329" t="s">
        <v>381</v>
      </c>
      <c r="B28" s="329" t="s">
        <v>382</v>
      </c>
      <c r="C28" s="336" t="e">
        <f>CONCATENATE("Оценочная стоимость с 01.01.",F2+1)</f>
        <v>#VALUE!</v>
      </c>
      <c r="D28" s="336" t="e">
        <f>CONCATENATE("Оценочная стоимость с 01.01.",F2+2)</f>
        <v>#VALUE!</v>
      </c>
      <c r="E28" s="329" t="e">
        <f>CONCATENATE("Оценочная стоимость с 01.01.",F2+3)</f>
        <v>#VALUE!</v>
      </c>
      <c r="F28" s="337"/>
      <c r="G28" s="337"/>
    </row>
    <row r="29" spans="1:7" ht="45" customHeight="1">
      <c r="A29" s="332" t="s">
        <v>383</v>
      </c>
      <c r="B29" s="338" t="str">
        <f>C8</f>
        <v xml:space="preserve">, номер кузова (шасси) , рег.знак </v>
      </c>
      <c r="C29" s="339" t="e">
        <f>IF(AND(C7="легковые автомобили",F3-C9&lt;5,C10="нет"),C23*(1-0.05*H3),IF(AND(C7="легковые автомобили",F3-C9&lt;10,C10="нет"),C23*(1-0.07*H3),IF(AND(C7="легковые автомобили",F3-C9&lt;15,C10="нет"),C23*(1-0.1*H3),IF(AND(C7="легковые автомобили",F3-C9&lt;5,C10="да"),C23*(1-0.08*H3),IF(AND(C7="легковые автомобили",F3-C9&lt;10,C10="да"),C23*(1-0.1*H3),IF(AND(C7="легковые автомобили",F3-C9&lt;15,C10="да"),C23*(1-0.13*H3),IF(AND(C7="мотоциклы",C10="нет",F3-C9&lt;5),C23*(1-0.07*H3),IF(AND(C7="мотоциклы",C10="нет",F3-C9&lt;10),C23*(1-0.1*H3),IF(AND(C7="мотоциклы",C10="да",F3-C9&lt;5),C23*(1-0.1*H3),IF(AND(C7="мотоциклы",C10="да",F3-C9&lt;10),C23*(1-0.13*H3),IF(AND(C7="грузовые автомобили, прицепы и полуприцепы, автобусы",F3-C9&lt;4,C10="нет"),C23*(1-0.05*H3),IF(AND(C7="грузовые автомобили, прицепы и полуприцепы, автобусы",F3-C9&lt;10,C10="нет"),C23*(1-0.07*H3),IF(AND(C7="грузовые автомобили, прицепы и полуприцепы, автобусы",F3-C9&lt;20,C10="нет"),C23*(1-0.1*H3),IF(AND(C7="грузовые автомобили, прицепы и полуприцепы, автобусы",F3-C9&lt;4,C10="да")*C23*(1-0.08*H3),IF(AND(C7="грузовые автомобили, прицепы и полуприцепы, автобусы",F3-C9&lt;10,C10="да"),C23*(1-0.1*H3),IF(AND(C7="грузовые автомобили, прицепы и полуприцепы, автобусы",F3-C9&lt;20,C10="да"),C23*(1-0.13*H3),IF(AND(C7="тракторы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спецтехника",C10="нет",F3-C9&lt;4),C23*(1-0.07*H3),IF(AND(C7="тракторы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спецтехника",C10="нет",F3-C9&lt;10,F3-C9&gt;=4),C23*(1-0.1*H3),IF(AND(C7="тракторы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спецтехника",C10="нет",F3-C9&lt;20,F3-C9&gt;=10),C23*(1-0.13*H3),IF(AND(C7="тракторы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спецтехника",C10="да",F3-C9&lt;4),C23*(1-0.1*H3),IF(AND(C7="тракторы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спецтехника",C10="да",F3-C9&lt;10,F3-C9&gt;=4),C23*(1-0.13*H3),IF(AND(C7="тракторы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спецтехника",C10="да",F3-C9&lt;20,F3-C9&gt;=10),C23*(1-0.17*H3),IF(AND(C7="воздушный и водный транспорт",C10="нет",F3-C9&lt;10),C23*(1-0.07*H3),IF(AND(C7="воздушный и водный транспорт",C10="нет",F3-C9&gt;=10),C23*(1-0.1*H3),IF(AND(C7="воздушный и водный транспорт",C10="да",F3-C9&lt;10),C23*(1-0.1*H3),IF(AND(C7="воздушный и водный транспорт",C10="да",F3-C9&gt;=10),C23*(1-0.13*H3)))))))))))))))))))))))))))</f>
        <v>#VALUE!</v>
      </c>
      <c r="D29" s="339" t="e">
        <f>IF(AND(C7="легковые автомобили",F4-C9&lt;5,C10="нет"),C29*0.95,IF(AND(C7="легковые автомобили",F4-C9&lt;10,C10="нет"),C29*0.93,IF(AND(C7="легковые автомобили",F4-C9&lt;15,C10="нет"),C29*0.9,IF(AND(C7="легковые автомобили",F4-C9&lt;5,C10="да"),C29*0.92,IF(AND(C7="легковые автомобили",F4-C9&lt;10,C10="да"),C29*0.9,IF(AND(C7="легковые автомобили",F4-C9&lt;15,C10="да"),C29*0.87,IF(AND(C7="мотоциклы",C10="нет",F4-C9&lt;5),C29*0.93,IF(AND(C7="мотоциклы",C10="нет",F4-C9&lt;10),C29*0.9,IF(AND(C7="мотоциклы",C10="да",F4-C9&lt;5),C29*0.9,IF(AND(C7="мотоциклы",C10="да",F4-C9&lt;10),C29*0.87,IF(AND(C7="грузовые автомобили, прицепы и полуприцепы, автобусы",F4-C9&lt;4,C10="нет"),C29*0.95,IF(AND(C7="грузовые автомобили, прицепы и полуприцепы, автобусы",F4-C9&lt;10,C10="нет"),C29*0.93,IF(AND(C7="грузовые автомобили, прицепы и полуприцепы, автобусы",F4-C9&lt;20,C10="нет"),C29*0.9,IF(AND(C7="грузовые автомобили, прицепы и полуприцепы, автобусы",F4-C9&lt;4,C10="да"),C29*0.92,IF(AND(C7="грузовые автомобили, прицепы и полуприцепы, автобусы",F4-C9&lt;10,C10="да"),C29*0.9,IF(AND(C7="грузовые автомобили, прицепы и полуприцепы, автобусы",F4-C9&lt;20,C10="да"),C29*0.87,IF(AND(C7="тракторы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спецтехника",C10="нет",F4-C9&lt;4),C29*0.93,IF(AND(C7="тракторы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спецтехника",C10="нет",F4-C9&lt;10,F4-C9&gt;=4),C29*0.9,IF(AND(C7="тракторы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спецтехника",C10="нет",F4-C9&lt;20,F4-C9&gt;=10),C29*0.87,IF(AND(C7="тракторы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спецтехника",C10="да",F4-C9&lt;4),C29*0.9,IF(AND(C7="тракторы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спецтехника",C10="да",F4-C9&lt;10,F4-C9&gt;=4),C29*0.87,IF(AND(C7="тракторы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спецтехника",C10="да",F4-C9&lt;20,F4-C9&gt;=10),C29*0.83,IF(AND(C7="воздушный и водный транспорт",C10="нет",F4-C9&lt;10),C29*0.93,IF(AND(C7="воздушный и водный транспорт",C10="нет",F4-C9&gt;=10),C29*0.9,IF(AND(C7="воздушный и водный транспорт",C10="да",F4-C9&lt;10),C29*0.9,IF(AND(C7="воздушный и водный транспорт",C10="да",F4-C9&gt;=10),C29*0.87))))))))))))))))))))))))))</f>
        <v>#VALUE!</v>
      </c>
      <c r="E29" s="339" t="e">
        <f>IF(AND(C7="легковые автомобили",F5-C9&lt;5,C10="нет"),D29*0.95,IF(AND(C7="легковые автомобили",F5-C9&lt;10,C10="нет"),D29*0.93,IF(AND(C7="легковые автомобили",F5-C9&lt;15,C10="нет"),D29*0.9,IF(AND(C7="легковые автомобили",F5-C9&lt;5,C10="да"),D29*0.92,IF(AND(C7="легковые автомобили",F5-C9&lt;10,C10="да"),D29*0.9,IF(AND(C7="легковые автомобили",F5-C9&lt;15,C10="да"),D29*0.87,IF(AND(C7="мотоциклы",C10="нет",F5-C9&lt;5),D29*0.93,IF(AND(C7="мотоциклы",C10="нет",F5-C9&lt;10),D29*0.9,IF(AND(C7="мотоциклы",C10="да",F5-C9&lt;5),D29*0.9,IF(AND(C7="мотоциклы",C10="да",F5-C9&lt;10),D29*0.87,IF(AND(C7="грузовые автомобили, прицепы и полуприцепы, автобусы",F5-C9&lt;4,C10="нет"),D29*0.95,IF(AND(C7="грузовые автомобили, прицепы и полуприцепы, автобусы",F5-C9&lt;10,C10="нет"),D29*0.93,IF(AND(C7="грузовые автомобили, прицепы и полуприцепы, автобусы",F5-C9&lt;20,C10="нет"),D29*0.9,IF(AND(C7="грузовые автомобили, прицепы и полуприцепы, автобусы",F5-C9&lt;4,C10="да"),D29*0.92,IF(AND(C7="грузовые автомобили, прицепы и полуприцепы, автобусы",F5-C9&lt;10,C10="да"),D29*0.9,IF(AND(C7="грузовые автомобили, прицепы и полуприцепы, автобусы",F5-C9&lt;20,C10="да"),D29*0.87,IF(AND(C7="тракторы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спецтехника",C10="нет",F5-C9&lt;4),D29*0.93,IF(AND(C7="тракторы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спецтехника",C10="нет",F5-C9&lt;10,F5-C9&gt;=4),D29*0.9,IF(AND(C7="тракторы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спецтехника",C10="нет",F5-C9&lt;20,F5-C9&gt;=10),D29*0.87,IF(AND(C7="тракторы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спецтехника",C10="да",F5-C9&lt;4),D29*0.9,IF(AND(C7="тракторы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спецтехника",C10="да",F5-C9&lt;10,F5-C9&gt;=4),D29*0.87,IF(AND(C7="тракторы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спецтехника",C10="да",F5-C9&lt;20,F5-C9&gt;=10),D29*0.83,IF(AND(C7="воздушный и водный транспорт",C10="нет",F5-C9&lt;10),D29*0.93,IF(AND(C7="воздушный и водный транспорт",C10="нет",F5-C9&gt;=10),D29*0.9,IF(AND(C7="воздушный и водный транспорт",C10="да",F5-C9&lt;10),D29*0.9,IF(AND(C7="воздушный и водный транспорт",C10="да",F5-C9&gt;=10),D29*0.87))))))))))))))))))))))))))</f>
        <v>#VALUE!</v>
      </c>
      <c r="F29" s="340"/>
      <c r="G29" s="340"/>
    </row>
    <row r="30" spans="1:7" ht="15.75">
      <c r="B30" s="341"/>
      <c r="C30" s="202"/>
      <c r="D30" s="202"/>
    </row>
    <row r="31" spans="1:7" ht="29.25" customHeight="1">
      <c r="B31" s="341"/>
      <c r="C31" s="329" t="e">
        <f>CONCATENATE("Оценочная стоимость с 01.01.",F2+4)</f>
        <v>#VALUE!</v>
      </c>
      <c r="D31" s="329" t="e">
        <f>CONCATENATE("Оценочная стоимость с 01.01.",F2+5)</f>
        <v>#VALUE!</v>
      </c>
    </row>
    <row r="32" spans="1:7" ht="27" customHeight="1">
      <c r="B32" s="335"/>
      <c r="C32" s="342" t="e">
        <f>IF(AND(C7="легковые автомобили",F6-C9&lt;5,C10="нет"),E29*0.95,IF(AND(C7="легковые автомобили",F6-C9&lt;10,C10="нет"),E29*0.93,IF(AND(C7="легковые автомобили",F6-C9&lt;15,C10="нет"),E29*0.9,IF(AND(C7="легковые автомобили",F6-C9&lt;5,C10="да"),E29*0.92,IF(AND(C7="легковые автомобили",F6-C9&lt;10,C10="да"),E29*0.9,IF(AND(C7="легковые автомобили",F6-C9&lt;15,C10="да"),E29*0.87,IF(AND(C7="мотоциклы",C10="нет",F6-C9&lt;5),E29*0.93,IF(AND(C7="мотоциклы",C10="нет",F6-C9&lt;10),E29*0.9,IF(AND(C7="мотоциклы",C10="да",F6-C9&lt;5),E29*0.9,IF(AND(C7="мотоциклы",C10="да",F6-C9&lt;10),E29*0.87,IF(AND(C7="грузовые автомобили, прицепы и полуприцепы, автобусы",F6-C9&lt;4,C10="нет"),E29*0.95,IF(AND(C7="грузовые автомобили, прицепы и полуприцепы, автобусы",F6-C9&lt;10,C10="нет"),E29*0.93,IF(AND(C7="грузовые автомобили, прицепы и полуприцепы, автобусы",F6-C9&lt;20,C10="нет"),E29*0.9,IF(AND(C7="грузовые автомобили, прицепы и полуприцепы, автобусы",F6-C9&lt;4,C10="да"),E29*0.92,IF(AND(C7="грузовые автомобили, прицепы и полуприцепы, автобусы",F6-C9&lt;10,C10="да"),E29*0.9,IF(AND(C7="грузовые автомобили, прицепы и полуприцепы, автобусы",F6-C9&lt;20,C10="да"),E29*0.87,IF(AND(C7="тракторы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спецтехника",C10="нет",F6-C9&lt;4),E29*0.93,IF(AND(C7="тракторы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спецтехника",C10="нет",F6-C9&lt;10,F6-C9&gt;=4),E29*0.9,IF(AND(C7="тракторы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спецтехника",C10="нет",F6-C9&lt;20,F6-C9&gt;=10),E29*0.87,IF(AND(C7="тракторы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спецтехника",C10="да",F6-C9&lt;4),E29*0.9,IF(AND(C7="тракторы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спецтехника",C10="да",F6-C9&lt;10,F6-C9&gt;=4),E29*0.87,IF(AND(C7="тракторы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спецтехника",C10="да",F6-C9&lt;20,F6-C9&gt;=10),E29*0.83,IF(AND(C7="воздушный и водный транспорт",C10="нет",F6-C9&lt;10),E29*0.93,IF(AND(C7="воздушный и водный транспорт",C10="нет",F6-C9&gt;=10),E29*0.9,IF(AND(C7="воздушный и водный транспорт",C10="да",F6-C9&lt;10),E29*0.9,IF(AND(C7="воздушный и водный транспорт",C10="да",F6-C9&gt;=10),E29*0.87))))))))))))))))))))))))))</f>
        <v>#VALUE!</v>
      </c>
      <c r="D32" s="342" t="e">
        <f>IF(AND(C7="легковые автомобили",F7-C9&lt;5,C10="нет"),C32*0.95,IF(AND(C7="легковые автомобили",F7-C9&lt;10,C10="нет"),C32*0.93,IF(AND(C7="легковые автомобили",F7-C9&lt;15,C10="нет"),C32*0.9,IF(AND(C7="легковые автомобили",F7-C9&lt;5,C10="да"),C32*0.92,IF(AND(C7="легковые автомобили",F7-C9&lt;10,C10="да"),C32*0.9,IF(AND(C7="легковые автомобили",F7-C9&lt;15,C10="да"),C32*0.87,IF(AND(C7="мотоциклы",C10="нет",F7-C9&lt;5),C32*0.93,IF(AND(C7="мотоциклы",C10="нет",F7-C9&lt;10),C32*0.9,IF(AND(C7="мотоциклы",C10="да",F7-C9&lt;5),C32*0.9,IF(AND(C7="мотоциклы",C10="да",F7-C9&lt;10),C32*0.87,IF(AND(C7="грузовые автомобили, прицепы и полуприцепы, автобусы",F7-C9&lt;4,C10="нет"),C32*0.95,IF(AND(C7="грузовые автомобили, прицепы и полуприцепы, автобусы",F7-C9&lt;10,C10="нет"),C32*0.93,IF(AND(C7="грузовые автомобили, прицепы и полуприцепы, автобусы",F7-C9&lt;20,C10="нет"),C32*0.9,IF(AND(C7="грузовые автомобили, прицепы и полуприцепы, автобусы",F7-C9&lt;4,C10="да"),C32*0.92,IF(AND(C7="грузовые автомобили, прицепы и полуприцепы, автобусы",F7-C9&lt;10,C10="да"),C32*0.9,IF(AND(C7="грузовые автомобили, прицепы и полуприцепы, автобусы",F7-C9&lt;20,C10="да"),C32*0.87,IF(AND(C7="тракторы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спецтехника",C10="нет",F7-C9&lt;4),C32*0.93,IF(AND(C7="тракторы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спецтехника",C10="нет",F7-C9&lt;10,F7-C9&gt;=4),C32*0.9,IF(AND(C7="тракторы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спецтехника",C10="нет",F7-C9&lt;20,F7-C9&gt;=10),C32*0.87,IF(AND(C7="тракторы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спецтехника",C10="да",F7-C9&lt;4),C32*0.9,IF(AND(C7="тракторы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спецтехника",C10="да",F7-C9&lt;10,F7-C9&gt;=4),C32*0.87,IF(AND(C7="тракторы (прицепы к ним), самоходные сельскохозяйственные мелиоративные и дорожно-строительные машины, машины, изготовленные на базе тракторов, спецтехника",C10="да",F7-C9&lt;20,F7-C9&gt;=10),C32*0.83,IF(AND(C7="воздушный и водный транспорт",C10="нет",F7-C9&lt;10),C32*0.93,IF(AND(C7="воздушный и водный транспорт",C10="нет",F7-C9&gt;=10),C32*0.9,IF(AND(C7="воздушный и водный транспорт",C10="да",F7-C9&lt;10),C32*0.9,IF(AND(C7="воздушный и водный транспорт",C10="да",F7-C9&gt;=10),C32*0.87))))))))))))))))))))))))))</f>
        <v>#VALUE!</v>
      </c>
    </row>
    <row r="33" spans="2:8" ht="15.75">
      <c r="B33" s="335"/>
    </row>
    <row r="34" spans="2:8" ht="15.75">
      <c r="B34" s="308" t="str">
        <f>IF('залоговая опись авто'!F2="юр.лицо","Подпись руководителя залогодателя","Подпись залогодателя")</f>
        <v>Подпись залогодателя</v>
      </c>
      <c r="C34" s="309"/>
      <c r="D34" s="343"/>
      <c r="E34" s="292"/>
      <c r="G34" s="291"/>
      <c r="H34" s="344"/>
    </row>
    <row r="35" spans="2:8" ht="15.75">
      <c r="B35" s="302"/>
      <c r="C35" s="302"/>
      <c r="D35" s="345" t="s">
        <v>351</v>
      </c>
      <c r="E35" s="345"/>
      <c r="G35" s="302"/>
      <c r="H35" s="302"/>
    </row>
    <row r="36" spans="2:8" ht="15.75">
      <c r="B36" s="302"/>
      <c r="C36" s="302"/>
      <c r="D36" s="302"/>
      <c r="E36" s="302"/>
      <c r="G36" s="302"/>
      <c r="H36" s="302"/>
    </row>
    <row r="37" spans="2:8" ht="15.75">
      <c r="B37" s="302" t="str">
        <f>IF('залоговая опись авто'!F2="юр.лицо","Подпись исполнителя оценки"," ")</f>
        <v xml:space="preserve"> </v>
      </c>
      <c r="C37" s="310"/>
      <c r="D37" s="343"/>
      <c r="E37" s="292"/>
      <c r="G37" s="302"/>
      <c r="H37" s="302"/>
    </row>
    <row r="38" spans="2:8" ht="15.75">
      <c r="B38" s="302"/>
      <c r="C38" s="302"/>
      <c r="D38" s="345" t="str">
        <f>IF('залоговая опись авто'!F2="юр.лицо","расшифровка"," ")</f>
        <v xml:space="preserve"> </v>
      </c>
      <c r="E38" s="345"/>
      <c r="G38" s="302"/>
      <c r="H38" s="302"/>
    </row>
    <row r="39" spans="2:8" ht="15.75">
      <c r="B39" s="302"/>
      <c r="C39" s="302" t="str">
        <f>IF('залоговая опись авто'!F2="юр.лицо","М.П."," ")</f>
        <v xml:space="preserve"> </v>
      </c>
      <c r="E39" s="302"/>
      <c r="F39" s="302"/>
      <c r="G39" s="302"/>
      <c r="H39" s="302"/>
    </row>
    <row r="40" spans="2:8" ht="15.75">
      <c r="B40" s="335"/>
    </row>
    <row r="41" spans="2:8" ht="15.75">
      <c r="B41" s="335"/>
    </row>
    <row r="42" spans="2:8" ht="15.75">
      <c r="B42" s="335"/>
    </row>
    <row r="43" spans="2:8" ht="15.75">
      <c r="B43" s="335"/>
    </row>
    <row r="44" spans="2:8" ht="15.75">
      <c r="B44" s="335"/>
    </row>
    <row r="45" spans="2:8" ht="15.75">
      <c r="B45" s="335"/>
    </row>
    <row r="46" spans="2:8" ht="15.75">
      <c r="B46" s="335"/>
    </row>
    <row r="47" spans="2:8" ht="15.75">
      <c r="B47" s="335"/>
    </row>
    <row r="48" spans="2:8" ht="15.75">
      <c r="B48" s="335"/>
      <c r="D48" s="335" t="s">
        <v>384</v>
      </c>
    </row>
    <row r="49" spans="2:5" ht="15.75">
      <c r="B49" s="335"/>
      <c r="D49" s="994" t="s">
        <v>385</v>
      </c>
      <c r="E49" s="994"/>
    </row>
    <row r="50" spans="2:5" ht="15.75">
      <c r="D50" s="998" t="str">
        <f>D2</f>
        <v>дата оценки</v>
      </c>
      <c r="E50" s="998"/>
    </row>
    <row r="51" spans="2:5" ht="15.75">
      <c r="B51" s="318" t="s">
        <v>386</v>
      </c>
    </row>
    <row r="52" spans="2:5">
      <c r="B52" s="995" t="s">
        <v>387</v>
      </c>
      <c r="C52" s="995"/>
    </row>
    <row r="53" spans="2:5">
      <c r="B53" s="346"/>
      <c r="C53" s="346"/>
    </row>
    <row r="54" spans="2:5">
      <c r="B54" s="346"/>
      <c r="C54" s="346"/>
    </row>
    <row r="55" spans="2:5">
      <c r="B55" s="346"/>
      <c r="C55" s="346"/>
    </row>
    <row r="56" spans="2:5">
      <c r="B56" s="346"/>
      <c r="C56" s="346"/>
    </row>
    <row r="57" spans="2:5">
      <c r="B57" s="346"/>
      <c r="C57" s="346"/>
    </row>
    <row r="58" spans="2:5">
      <c r="B58" s="346"/>
      <c r="C58" s="346"/>
    </row>
    <row r="59" spans="2:5">
      <c r="B59" s="346"/>
      <c r="C59" s="346"/>
    </row>
    <row r="60" spans="2:5">
      <c r="B60" s="346"/>
      <c r="C60" s="346"/>
    </row>
    <row r="61" spans="2:5" ht="15.75">
      <c r="B61" s="318" t="s">
        <v>376</v>
      </c>
    </row>
    <row r="62" spans="2:5">
      <c r="B62" s="995" t="s">
        <v>387</v>
      </c>
      <c r="C62" s="995"/>
    </row>
    <row r="63" spans="2:5">
      <c r="B63" s="346"/>
      <c r="C63" s="346"/>
    </row>
    <row r="64" spans="2:5">
      <c r="B64" s="346"/>
      <c r="C64" s="346"/>
    </row>
    <row r="65" spans="2:3">
      <c r="B65" s="346"/>
      <c r="C65" s="346"/>
    </row>
    <row r="66" spans="2:3" ht="15.75">
      <c r="B66" s="307"/>
      <c r="C66" s="346"/>
    </row>
    <row r="67" spans="2:3" ht="15.75">
      <c r="B67" s="307"/>
      <c r="C67" s="346"/>
    </row>
    <row r="68" spans="2:3" ht="15.75">
      <c r="B68" s="307"/>
      <c r="C68" s="346"/>
    </row>
    <row r="69" spans="2:3" ht="15.75">
      <c r="B69" s="307"/>
      <c r="C69" s="346"/>
    </row>
    <row r="70" spans="2:3" ht="15.75">
      <c r="B70" s="307"/>
      <c r="C70" s="346"/>
    </row>
    <row r="71" spans="2:3" ht="15.75">
      <c r="B71" s="318" t="s">
        <v>377</v>
      </c>
    </row>
    <row r="72" spans="2:3">
      <c r="B72" s="995" t="s">
        <v>387</v>
      </c>
      <c r="C72" s="995"/>
    </row>
    <row r="73" spans="2:3">
      <c r="B73" s="346"/>
      <c r="C73" s="346"/>
    </row>
    <row r="74" spans="2:3">
      <c r="B74" s="346"/>
      <c r="C74" s="346"/>
    </row>
    <row r="75" spans="2:3">
      <c r="B75" s="346"/>
      <c r="C75" s="346"/>
    </row>
    <row r="76" spans="2:3" ht="15.75">
      <c r="B76" s="307"/>
      <c r="C76" s="346"/>
    </row>
    <row r="77" spans="2:3" ht="15.75">
      <c r="B77" s="307"/>
      <c r="C77" s="346"/>
    </row>
    <row r="78" spans="2:3" ht="15.75">
      <c r="B78" s="307"/>
      <c r="C78" s="346"/>
    </row>
    <row r="79" spans="2:3" ht="15.75">
      <c r="B79" s="307"/>
      <c r="C79" s="346"/>
    </row>
    <row r="80" spans="2:3" ht="15.75">
      <c r="B80" s="307"/>
      <c r="C80" s="346"/>
    </row>
  </sheetData>
  <mergeCells count="13">
    <mergeCell ref="C23:E23"/>
    <mergeCell ref="B1:E1"/>
    <mergeCell ref="C7:E7"/>
    <mergeCell ref="C8:E8"/>
    <mergeCell ref="C13:E13"/>
    <mergeCell ref="C22:E22"/>
    <mergeCell ref="B72:C72"/>
    <mergeCell ref="C25:E25"/>
    <mergeCell ref="B27:E27"/>
    <mergeCell ref="D49:E49"/>
    <mergeCell ref="D50:E50"/>
    <mergeCell ref="B52:C52"/>
    <mergeCell ref="B62:C62"/>
  </mergeCells>
  <conditionalFormatting sqref="C2">
    <cfRule type="cellIs" dxfId="13" priority="13" operator="equal">
      <formula>"дата оценки"</formula>
    </cfRule>
  </conditionalFormatting>
  <conditionalFormatting sqref="C4">
    <cfRule type="cellIs" dxfId="12" priority="12" operator="equal">
      <formula>"полное наименование залогодателя"</formula>
    </cfRule>
  </conditionalFormatting>
  <conditionalFormatting sqref="C8">
    <cfRule type="cellIs" dxfId="11" priority="11" operator="equal">
      <formula>"наименование предмета залога (марка, модель, цвет)"</formula>
    </cfRule>
  </conditionalFormatting>
  <conditionalFormatting sqref="C9:C10">
    <cfRule type="containsBlanks" dxfId="10" priority="10">
      <formula>LEN(TRIM(C9))=0</formula>
    </cfRule>
  </conditionalFormatting>
  <conditionalFormatting sqref="D2">
    <cfRule type="cellIs" dxfId="9" priority="9" operator="equal">
      <formula>"дата оценки"</formula>
    </cfRule>
  </conditionalFormatting>
  <conditionalFormatting sqref="C15:E15">
    <cfRule type="containsBlanks" dxfId="8" priority="8">
      <formula>LEN(TRIM(C15))=0</formula>
    </cfRule>
  </conditionalFormatting>
  <conditionalFormatting sqref="C11">
    <cfRule type="containsBlanks" dxfId="7" priority="7">
      <formula>LEN(TRIM(C11))=0</formula>
    </cfRule>
  </conditionalFormatting>
  <conditionalFormatting sqref="C7">
    <cfRule type="containsBlanks" dxfId="6" priority="6">
      <formula>LEN(TRIM(C7))=0</formula>
    </cfRule>
  </conditionalFormatting>
  <conditionalFormatting sqref="C18:E19 C21:E21">
    <cfRule type="containsBlanks" dxfId="5" priority="5">
      <formula>LEN(TRIM(C18))=0</formula>
    </cfRule>
  </conditionalFormatting>
  <conditionalFormatting sqref="H34">
    <cfRule type="containsBlanks" dxfId="4" priority="4">
      <formula>LEN(TRIM(H34))=0</formula>
    </cfRule>
  </conditionalFormatting>
  <conditionalFormatting sqref="D34 D37">
    <cfRule type="containsBlanks" dxfId="3" priority="3">
      <formula>LEN(TRIM(D34))=0</formula>
    </cfRule>
  </conditionalFormatting>
  <conditionalFormatting sqref="D37">
    <cfRule type="expression" dxfId="2" priority="14">
      <formula>#REF!=" "</formula>
    </cfRule>
  </conditionalFormatting>
  <dataValidations count="3">
    <dataValidation type="list" allowBlank="1" showInputMessage="1" showErrorMessage="1" sqref="C7:E7">
      <formula1>$I$7:$I$11</formula1>
    </dataValidation>
    <dataValidation type="list" allowBlank="1" showInputMessage="1" showErrorMessage="1" sqref="C10">
      <formula1>"да,нет"</formula1>
    </dataValidation>
    <dataValidation type="list" allowBlank="1" showInputMessage="1" showErrorMessage="1" sqref="C11">
      <formula1>"BYN,USD,EUR,RUB"</formula1>
    </dataValidation>
  </dataValidations>
  <pageMargins left="0.7" right="0.7" top="0.75" bottom="0.75" header="0.3" footer="0.3"/>
  <pageSetup paperSize="9" scale="7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8188D9-A1D0-4455-92F7-C4DCC975AC23}">
            <xm:f>'залоговая опись авто'!$F$2="физ.лицо/ИП"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D37</xm:sqref>
        </x14:conditionalFormatting>
        <x14:conditionalFormatting xmlns:xm="http://schemas.microsoft.com/office/excel/2006/main">
          <x14:cfRule type="expression" priority="2" id="{FA4F6D2D-C9D3-480E-85E2-7D5AD4B61F94}">
            <xm:f>'залоговая опись авто'!$F$2="юр.лицо"</xm:f>
            <x14:dxf>
              <border>
                <left/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C37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8AEF60-0CB1-48A2-94C8-F42A5F9B43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45</vt:i4>
      </vt:variant>
    </vt:vector>
  </HeadingPairs>
  <TitlesOfParts>
    <vt:vector size="63" baseType="lpstr">
      <vt:lpstr>поступл.на счет бел</vt:lpstr>
      <vt:lpstr>поступл на счет долл</vt:lpstr>
      <vt:lpstr>поступл на счет евро</vt:lpstr>
      <vt:lpstr>поступл на счет росс</vt:lpstr>
      <vt:lpstr>Приложение 1 - Список док ЮЛ</vt:lpstr>
      <vt:lpstr>Приложение 2 - Список док ИП</vt:lpstr>
      <vt:lpstr>Приложение 3 - заключение</vt:lpstr>
      <vt:lpstr>проект решения КК</vt:lpstr>
      <vt:lpstr>калькулятор взноса </vt:lpstr>
      <vt:lpstr>Лист2</vt:lpstr>
      <vt:lpstr>Док-ты по залогу</vt:lpstr>
      <vt:lpstr>Док-ты по залогодателю</vt:lpstr>
      <vt:lpstr>Заявка</vt:lpstr>
      <vt:lpstr>Анкета поручителя</vt:lpstr>
      <vt:lpstr>Анкета поручителя 2</vt:lpstr>
      <vt:lpstr>Анкета поруч-залог ЮЛ</vt:lpstr>
      <vt:lpstr>залоговая опись авто</vt:lpstr>
      <vt:lpstr>акт оценки авто</vt:lpstr>
      <vt:lpstr>авто</vt:lpstr>
      <vt:lpstr>авто4</vt:lpstr>
      <vt:lpstr>Заявка!Да</vt:lpstr>
      <vt:lpstr>Кредитный_экспресс</vt:lpstr>
      <vt:lpstr>кэ</vt:lpstr>
      <vt:lpstr>кэ0</vt:lpstr>
      <vt:lpstr>кэ2</vt:lpstr>
      <vt:lpstr>кэ3</vt:lpstr>
      <vt:lpstr>кэ4</vt:lpstr>
      <vt:lpstr>'акт оценки авто'!Область_печати</vt:lpstr>
      <vt:lpstr>'Анкета поруч-залог ЮЛ'!Область_печати</vt:lpstr>
      <vt:lpstr>'Анкета поручителя'!Область_печати</vt:lpstr>
      <vt:lpstr>'Анкета поручителя 2'!Область_печати</vt:lpstr>
      <vt:lpstr>'Док-ты по залогодателю'!Область_печати</vt:lpstr>
      <vt:lpstr>'Док-ты по залогу'!Область_печати</vt:lpstr>
      <vt:lpstr>'залоговая опись авто'!Область_печати</vt:lpstr>
      <vt:lpstr>Заявка!Область_печати</vt:lpstr>
      <vt:lpstr>'калькулятор взноса '!Область_печати</vt:lpstr>
      <vt:lpstr>'Приложение 1 - Список док ЮЛ'!Область_печати</vt:lpstr>
      <vt:lpstr>'Приложение 2 - Список док ИП'!Область_печати</vt:lpstr>
      <vt:lpstr>'Приложение 3 - заключение'!Область_печати</vt:lpstr>
      <vt:lpstr>'проект решения КК'!Область_печати</vt:lpstr>
      <vt:lpstr>ов</vt:lpstr>
      <vt:lpstr>ов0</vt:lpstr>
      <vt:lpstr>ов2</vt:lpstr>
      <vt:lpstr>ов3</vt:lpstr>
      <vt:lpstr>ов4</vt:lpstr>
      <vt:lpstr>ов5</vt:lpstr>
      <vt:lpstr>Лист2!Овердрафт</vt:lpstr>
      <vt:lpstr>Овердрафт</vt:lpstr>
      <vt:lpstr>пер</vt:lpstr>
      <vt:lpstr>Перевозчик</vt:lpstr>
      <vt:lpstr>подз</vt:lpstr>
      <vt:lpstr>подз0</vt:lpstr>
      <vt:lpstr>подз2</vt:lpstr>
      <vt:lpstr>подз4</vt:lpstr>
      <vt:lpstr>Лист2!Подзарядка</vt:lpstr>
      <vt:lpstr>Подзарядка</vt:lpstr>
      <vt:lpstr>Продукты</vt:lpstr>
      <vt:lpstr>Рантье</vt:lpstr>
      <vt:lpstr>Так_просто</vt:lpstr>
      <vt:lpstr>тп0</vt:lpstr>
      <vt:lpstr>тп3</vt:lpstr>
      <vt:lpstr>тп4</vt:lpstr>
      <vt:lpstr>тп5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Вакула Марина Александровна</dc:creator>
  <cp:lastModifiedBy>Манзюк Ольга Андреевна</cp:lastModifiedBy>
  <cp:lastPrinted>2023-11-27T11:49:59Z</cp:lastPrinted>
  <dcterms:created xsi:type="dcterms:W3CDTF">2017-08-13T11:04:38Z</dcterms:created>
  <dcterms:modified xsi:type="dcterms:W3CDTF">2024-02-19T12:11:44Z</dcterms:modified>
</cp:coreProperties>
</file>